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queryTables/queryTable1.xml" ContentType="application/vnd.openxmlformats-officedocument.spreadsheetml.queryTable+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Override PartName="/xl/charts/chart2.xml" ContentType="application/vnd.openxmlformats-officedocument.drawingml.chart+xml"/>
  <Override PartName="/xl/drawings/drawing4.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3.xml" ContentType="application/vnd.openxmlformats-officedocument.spreadsheetml.worksheet+xml"/>
  <Override PartName="/xl/connections.xml" ContentType="application/vnd.openxmlformats-officedocument.spreadsheetml.connections+xml"/>
  <Override PartName="/xl/comments2.xml" ContentType="application/vnd.openxmlformats-officedocument.spreadsheetml.comments+xml"/>
  <Override PartName="/xl/worksheets/sheet1.xml" ContentType="application/vnd.openxmlformats-officedocument.spreadsheetml.worksheet+xml"/>
  <Override PartName="/xl/chartsheets/sheet4.xml" ContentType="application/vnd.openxmlformats-officedocument.spreadsheetml.chartsheet+xml"/>
  <Override PartName="/xl/chartsheets/sheet5.xml" ContentType="application/vnd.openxmlformats-officedocument.spreadsheetml.chart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chartsheets/sheet2.xml" ContentType="application/vnd.openxmlformats-officedocument.spreadsheetml.chartsheet+xml"/>
  <Override PartName="/xl/chartsheets/sheet3.xml" ContentType="application/vnd.openxmlformats-officedocument.spreadsheetml.chart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chartsheets/sheet1.xml" ContentType="application/vnd.openxmlformats-officedocument.spreadsheetml.chartsheet+xml"/>
  <Override PartName="/xl/worksheets/sheet36.xml" ContentType="application/vnd.openxmlformats-officedocument.spreadsheetml.worksheet+xml"/>
  <Override PartName="/xl/queryTables/queryTable3.xml" ContentType="application/vnd.openxmlformats-officedocument.spreadsheetml.queryTable+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Override PartName="/xl/queryTables/queryTable2.xml" ContentType="application/vnd.openxmlformats-officedocument.spreadsheetml.queryTable+xml"/>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harts/chart5.xml" ContentType="application/vnd.openxmlformats-officedocument.drawingml.chart+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charts/chart3.xml" ContentType="application/vnd.openxmlformats-officedocument.drawingml.chart+xml"/>
  <Override PartName="/xl/drawings/drawing5.xml" ContentType="application/vnd.openxmlformats-officedocument.drawing+xml"/>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comments3.xml" ContentType="application/vnd.openxmlformats-officedocument.spreadsheetml.comment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20" windowWidth="12120" windowHeight="9120" tabRatio="608" activeTab="2"/>
  </bookViews>
  <sheets>
    <sheet name="TRAIL BALANCE" sheetId="59" r:id="rId1"/>
    <sheet name="main TB" sheetId="58" r:id="rId2"/>
    <sheet name=" INDEX" sheetId="53" r:id="rId3"/>
    <sheet name="General Information" sheetId="62" r:id="rId4"/>
    <sheet name="Statement of Financial Position" sheetId="4" r:id="rId5"/>
    <sheet name="Statement of Financial Performa" sheetId="5" r:id="rId6"/>
    <sheet name="Changes in Net assets" sheetId="6" r:id="rId7"/>
    <sheet name="Cash Flow Statement" sheetId="7" r:id="rId8"/>
    <sheet name="Note 1 Accounting Policy" sheetId="52" r:id="rId9"/>
    <sheet name="Notes 2 - 9" sheetId="9" r:id="rId10"/>
    <sheet name="Note 10" sheetId="10" r:id="rId11"/>
    <sheet name="Note 11-14" sheetId="11" r:id="rId12"/>
    <sheet name="Note 15" sheetId="12" r:id="rId13"/>
    <sheet name="Note 16, 17" sheetId="14" r:id="rId14"/>
    <sheet name="Notes 18 - 35" sheetId="16" r:id="rId15"/>
    <sheet name="Note 35 (Continue..) - 36" sheetId="28" r:id="rId16"/>
    <sheet name="Note 37" sheetId="29" r:id="rId17"/>
    <sheet name="Note 38" sheetId="55" r:id="rId18"/>
    <sheet name="Note 39 -42" sheetId="40" r:id="rId19"/>
    <sheet name="Note 43" sheetId="61" r:id="rId20"/>
    <sheet name="Appendix A" sheetId="30" r:id="rId21"/>
    <sheet name="Appendix B" sheetId="31" r:id="rId22"/>
    <sheet name="Appendix C" sheetId="32" r:id="rId23"/>
    <sheet name="Appendix D" sheetId="33" r:id="rId24"/>
    <sheet name="Appendix E(1)" sheetId="34" r:id="rId25"/>
    <sheet name="Appendix E(2)" sheetId="35" r:id="rId26"/>
    <sheet name="Appendix G" sheetId="36" r:id="rId27"/>
    <sheet name="Round up links" sheetId="44" r:id="rId28"/>
    <sheet name="Financial Report p13" sheetId="1" r:id="rId29"/>
    <sheet name="Operating revenue Graph" sheetId="45" r:id="rId30"/>
    <sheet name="Operating Expenditure Graph" sheetId="46" r:id="rId31"/>
    <sheet name="Consumer debtors Graph" sheetId="47" r:id="rId32"/>
    <sheet name="Collection Rates Graph" sheetId="48" r:id="rId33"/>
    <sheet name="Capital exp by Asset Type" sheetId="49" r:id="rId34"/>
    <sheet name="Graphs - Linked " sheetId="2" r:id="rId35"/>
    <sheet name="Capital Exp by Asset Type " sheetId="42" r:id="rId36"/>
    <sheet name="Collection Rates" sheetId="43" r:id="rId37"/>
    <sheet name="Capital Expenditure &amp; Financing" sheetId="37" r:id="rId38"/>
    <sheet name="Roll Overs Capital Budget" sheetId="38" r:id="rId39"/>
    <sheet name="Accounting Ratios" sheetId="3" r:id="rId40"/>
    <sheet name="Sheet1" sheetId="56" r:id="rId41"/>
  </sheets>
  <externalReferences>
    <externalReference r:id="rId42"/>
  </externalReferences>
  <definedNames>
    <definedName name="_xlnm._FilterDatabase" localSheetId="0" hidden="1">'TRAIL BALANCE'!$A$1:$T$653</definedName>
    <definedName name="_Toc203654196" localSheetId="8">'Note 1 Accounting Policy'!$B$4</definedName>
    <definedName name="_xlnm.Print_Area" localSheetId="2">' INDEX'!$A$1:$D$59</definedName>
    <definedName name="_xlnm.Print_Area" localSheetId="20">'Appendix A'!$A$1:$K$25</definedName>
    <definedName name="_xlnm.Print_Area" localSheetId="21">'Appendix B'!$A$1:$N$37</definedName>
    <definedName name="_xlnm.Print_Area" localSheetId="22">'Appendix C'!$A$1:$P$59</definedName>
    <definedName name="_xlnm.Print_Area" localSheetId="23">'Appendix D'!$A$1:$O$79</definedName>
    <definedName name="_xlnm.Print_Area" localSheetId="24">'Appendix E(1)'!$A$1:$F$48</definedName>
    <definedName name="_xlnm.Print_Area" localSheetId="25">'Appendix E(2)'!$A$1:$H$82</definedName>
    <definedName name="_xlnm.Print_Area" localSheetId="26">'Appendix G'!$A$1:$E$91</definedName>
    <definedName name="_xlnm.Print_Area" localSheetId="7">'Cash Flow Statement'!$A$1:$H$49</definedName>
    <definedName name="_xlnm.Print_Area" localSheetId="6">'Changes in Net assets'!$A$1:$G$41</definedName>
    <definedName name="_xlnm.Print_Area" localSheetId="3">'General Information'!$A$1:$E$53</definedName>
    <definedName name="_xlnm.Print_Area" localSheetId="1">'main TB'!$M$1:$U$226</definedName>
    <definedName name="_xlnm.Print_Area" localSheetId="8">'Note 1 Accounting Policy'!$A$1:$D$492</definedName>
    <definedName name="_xlnm.Print_Area" localSheetId="10">'Note 10'!$A$1:$I$41</definedName>
    <definedName name="_xlnm.Print_Area" localSheetId="11">'Note 11-14'!$A$1:$I$81</definedName>
    <definedName name="_xlnm.Print_Area" localSheetId="12">'Note 15'!$A$1:$F$163</definedName>
    <definedName name="_xlnm.Print_Area" localSheetId="13">'Note 16, 17'!$A$1:$I$89</definedName>
    <definedName name="_xlnm.Print_Area" localSheetId="17">'Note 38'!$A$1:$G$73</definedName>
    <definedName name="_xlnm.Print_Area" localSheetId="18">'Note 39 -42'!$A$1:$I$54</definedName>
    <definedName name="_xlnm.Print_Area" localSheetId="19">'Note 43'!$A$1:$F$162</definedName>
    <definedName name="_xlnm.Print_Area" localSheetId="14">'Notes 18 - 35'!$A$1:$I$441</definedName>
    <definedName name="_xlnm.Print_Area" localSheetId="9">'Notes 2 - 9'!$A$1:$J$143</definedName>
    <definedName name="_xlnm.Print_Area" localSheetId="5">'Statement of Financial Performa'!$A$1:$I$51</definedName>
    <definedName name="_xlnm.Print_Area" localSheetId="4">'Statement of Financial Position'!$A$1:$G$45</definedName>
    <definedName name="_xlnm.Print_Area" localSheetId="0">'TRAIL BALANCE'!$A$1:$S$655</definedName>
    <definedName name="_xlnm.Print_Titles" localSheetId="1">'main TB'!$B:$G,'main TB'!$1:$4</definedName>
    <definedName name="_xlnm.Print_Titles" localSheetId="8">'Note 1 Accounting Policy'!$1:$2</definedName>
    <definedName name="_xlnm.Print_Titles" localSheetId="11">'Note 11-14'!$1:$2</definedName>
    <definedName name="_xlnm.Print_Titles" localSheetId="12">'Note 15'!$1:$2</definedName>
    <definedName name="_xlnm.Print_Titles" localSheetId="13">'Note 16, 17'!$1:$2</definedName>
    <definedName name="_xlnm.Print_Titles" localSheetId="15">'Note 35 (Continue..) - 36'!$1:$2</definedName>
    <definedName name="_xlnm.Print_Titles" localSheetId="17">'Note 38'!$1:$2</definedName>
    <definedName name="_xlnm.Print_Titles" localSheetId="19">'Note 43'!$1:$11</definedName>
    <definedName name="_xlnm.Print_Titles" localSheetId="14">'Notes 18 - 35'!$1:$2</definedName>
    <definedName name="_xlnm.Print_Titles" localSheetId="9">'Notes 2 - 9'!$1:$2</definedName>
    <definedName name="_xlnm.Print_Titles" localSheetId="0">'TRAIL BALANCE'!$1:$1</definedName>
    <definedName name="Query_from_ProMIS" localSheetId="1">'main TB'!$A$4:$P$227</definedName>
    <definedName name="Query_from_ProMIS" localSheetId="0">'TRAIL BALANCE'!$A$1:$S$771</definedName>
    <definedName name="Query_from_ProMIS_1" localSheetId="0">'TRAIL BALANCE'!$A$1:$S$783</definedName>
  </definedNames>
  <calcPr calcId="125725"/>
</workbook>
</file>

<file path=xl/calcChain.xml><?xml version="1.0" encoding="utf-8"?>
<calcChain xmlns="http://schemas.openxmlformats.org/spreadsheetml/2006/main">
  <c r="D318" i="16"/>
  <c r="F29" i="6"/>
  <c r="T38" i="58"/>
  <c r="T42" s="1"/>
  <c r="T44" s="1"/>
  <c r="D49" i="9" s="1"/>
  <c r="N38" i="58"/>
  <c r="N123"/>
  <c r="U211"/>
  <c r="D11" i="14" s="1"/>
  <c r="D72" i="11"/>
  <c r="C160" i="12"/>
  <c r="C158"/>
  <c r="C162" s="1"/>
  <c r="C139"/>
  <c r="N201" i="58"/>
  <c r="F24" i="55"/>
  <c r="F63" s="1"/>
  <c r="F11"/>
  <c r="H21"/>
  <c r="D10" i="9"/>
  <c r="D13"/>
  <c r="E136" i="12"/>
  <c r="C136"/>
  <c r="C137"/>
  <c r="C141" s="1"/>
  <c r="E135"/>
  <c r="E133"/>
  <c r="E132"/>
  <c r="E131"/>
  <c r="E137" s="1"/>
  <c r="E127"/>
  <c r="C125"/>
  <c r="C124"/>
  <c r="C123"/>
  <c r="C122"/>
  <c r="C121"/>
  <c r="C127" s="1"/>
  <c r="C115"/>
  <c r="C117"/>
  <c r="C107"/>
  <c r="C95"/>
  <c r="B42" i="2"/>
  <c r="C92" i="12"/>
  <c r="C91"/>
  <c r="C97" s="1"/>
  <c r="C85"/>
  <c r="C87" s="1"/>
  <c r="H19" s="1"/>
  <c r="E78"/>
  <c r="C78"/>
  <c r="E69"/>
  <c r="C69"/>
  <c r="E60"/>
  <c r="C60"/>
  <c r="E42"/>
  <c r="E38"/>
  <c r="E37"/>
  <c r="C36"/>
  <c r="E36"/>
  <c r="E35"/>
  <c r="E34"/>
  <c r="E33"/>
  <c r="E32"/>
  <c r="D31"/>
  <c r="D39"/>
  <c r="E21"/>
  <c r="E17"/>
  <c r="E16"/>
  <c r="C15"/>
  <c r="E15" s="1"/>
  <c r="C14"/>
  <c r="E14"/>
  <c r="E13"/>
  <c r="E12"/>
  <c r="E11"/>
  <c r="D10"/>
  <c r="D18" s="1"/>
  <c r="C10"/>
  <c r="C18" s="1"/>
  <c r="K28" i="31"/>
  <c r="F27" i="7"/>
  <c r="F12"/>
  <c r="L316" i="16"/>
  <c r="A52" i="6"/>
  <c r="C52"/>
  <c r="D22" i="9"/>
  <c r="C27" i="6"/>
  <c r="C14"/>
  <c r="D327" i="16"/>
  <c r="L328" s="1"/>
  <c r="I39" i="6"/>
  <c r="I41" s="1"/>
  <c r="I12"/>
  <c r="I25"/>
  <c r="K316" i="16"/>
  <c r="D37" i="7"/>
  <c r="K305" i="16"/>
  <c r="I26" i="4"/>
  <c r="I33" i="6"/>
  <c r="J319" i="16"/>
  <c r="J318"/>
  <c r="L339"/>
  <c r="M331"/>
  <c r="H34" i="6"/>
  <c r="J322" i="16"/>
  <c r="J321"/>
  <c r="J309"/>
  <c r="H15" i="4"/>
  <c r="H19"/>
  <c r="H26"/>
  <c r="H35"/>
  <c r="M31" i="5"/>
  <c r="H329" i="16"/>
  <c r="H332"/>
  <c r="H340" s="1"/>
  <c r="K326"/>
  <c r="K324"/>
  <c r="H18" i="40"/>
  <c r="D14" i="35"/>
  <c r="B15"/>
  <c r="C15"/>
  <c r="D15" s="1"/>
  <c r="E15"/>
  <c r="D16"/>
  <c r="F16" s="1"/>
  <c r="F15" s="1"/>
  <c r="D17"/>
  <c r="C18"/>
  <c r="B19"/>
  <c r="B18" s="1"/>
  <c r="E19"/>
  <c r="E18" s="1"/>
  <c r="D14" i="34"/>
  <c r="D15"/>
  <c r="E15"/>
  <c r="H15"/>
  <c r="D16"/>
  <c r="E16" s="1"/>
  <c r="C17"/>
  <c r="D17"/>
  <c r="E17" s="1"/>
  <c r="H17"/>
  <c r="D18"/>
  <c r="B19"/>
  <c r="D19" s="1"/>
  <c r="E19" s="1"/>
  <c r="H19"/>
  <c r="D14" i="33"/>
  <c r="F14"/>
  <c r="F15"/>
  <c r="J15"/>
  <c r="F16"/>
  <c r="F17"/>
  <c r="L17"/>
  <c r="B18"/>
  <c r="D18"/>
  <c r="T18"/>
  <c r="F14" i="32"/>
  <c r="K14"/>
  <c r="F15"/>
  <c r="K15"/>
  <c r="M15" s="1"/>
  <c r="F16"/>
  <c r="K16"/>
  <c r="M16" s="1"/>
  <c r="F17"/>
  <c r="K17"/>
  <c r="F18"/>
  <c r="K18"/>
  <c r="M18"/>
  <c r="F19"/>
  <c r="K19"/>
  <c r="M19" s="1"/>
  <c r="F14" i="31"/>
  <c r="K14"/>
  <c r="M14"/>
  <c r="F15"/>
  <c r="K15"/>
  <c r="M15" s="1"/>
  <c r="F16"/>
  <c r="K16"/>
  <c r="F17"/>
  <c r="K17"/>
  <c r="M17" s="1"/>
  <c r="F18"/>
  <c r="K18"/>
  <c r="F19"/>
  <c r="K19"/>
  <c r="M19"/>
  <c r="F14" i="30"/>
  <c r="J14" s="1"/>
  <c r="I14"/>
  <c r="F15"/>
  <c r="J15" s="1"/>
  <c r="F16"/>
  <c r="J16" s="1"/>
  <c r="F17"/>
  <c r="J17" s="1"/>
  <c r="F18"/>
  <c r="J18" s="1"/>
  <c r="J19"/>
  <c r="H15" i="16"/>
  <c r="K14" i="14"/>
  <c r="H14" i="12"/>
  <c r="D23" i="11"/>
  <c r="H23"/>
  <c r="E15" i="10"/>
  <c r="C18"/>
  <c r="H18" s="1"/>
  <c r="D18"/>
  <c r="E18"/>
  <c r="F18"/>
  <c r="G18"/>
  <c r="H19"/>
  <c r="L16" i="9"/>
  <c r="G14" i="6"/>
  <c r="G15"/>
  <c r="G16"/>
  <c r="G17"/>
  <c r="G19"/>
  <c r="F14" i="5"/>
  <c r="B6" i="2" s="1"/>
  <c r="H14" i="5"/>
  <c r="F15"/>
  <c r="H15"/>
  <c r="F16"/>
  <c r="F19"/>
  <c r="C18" i="4"/>
  <c r="E18"/>
  <c r="G19"/>
  <c r="C14" i="53"/>
  <c r="C15"/>
  <c r="C16"/>
  <c r="C17"/>
  <c r="C18"/>
  <c r="D13" i="35"/>
  <c r="F13"/>
  <c r="C13" i="34"/>
  <c r="D13"/>
  <c r="E13" s="1"/>
  <c r="B13" i="33"/>
  <c r="D13"/>
  <c r="F13" i="32"/>
  <c r="K13"/>
  <c r="M13" s="1"/>
  <c r="F13" i="31"/>
  <c r="K13"/>
  <c r="M13"/>
  <c r="F13" i="30"/>
  <c r="I13"/>
  <c r="D13" i="16"/>
  <c r="G13" i="12"/>
  <c r="H13" i="5"/>
  <c r="C13" i="53"/>
  <c r="F14" i="7"/>
  <c r="F19"/>
  <c r="I29" i="6"/>
  <c r="G31"/>
  <c r="H10" i="5"/>
  <c r="H12"/>
  <c r="H158" i="16"/>
  <c r="H17" i="5"/>
  <c r="H165" i="16"/>
  <c r="H167"/>
  <c r="H52"/>
  <c r="H22" i="5"/>
  <c r="B11" i="44"/>
  <c r="C11" s="1"/>
  <c r="E11" s="1"/>
  <c r="H64" i="16"/>
  <c r="H61"/>
  <c r="H154"/>
  <c r="H24" i="5"/>
  <c r="H186" i="16"/>
  <c r="H25" i="5"/>
  <c r="H193" i="16"/>
  <c r="H202"/>
  <c r="H31" i="5" s="1"/>
  <c r="H241" i="16"/>
  <c r="H248"/>
  <c r="H32" i="5" s="1"/>
  <c r="Q32" s="1"/>
  <c r="H262" i="16"/>
  <c r="H37" i="5" s="1"/>
  <c r="R37" s="1"/>
  <c r="H39"/>
  <c r="Q39" s="1"/>
  <c r="H40"/>
  <c r="H290" i="16"/>
  <c r="H292" s="1"/>
  <c r="H42" i="5" s="1"/>
  <c r="Q42" s="1"/>
  <c r="D10" i="16"/>
  <c r="D11"/>
  <c r="D12"/>
  <c r="K46"/>
  <c r="K47"/>
  <c r="D43" s="1"/>
  <c r="F13" i="5" s="1"/>
  <c r="D167" i="16"/>
  <c r="F20" i="5"/>
  <c r="F21"/>
  <c r="Q21" s="1"/>
  <c r="D53" i="16"/>
  <c r="D55"/>
  <c r="D83" s="1"/>
  <c r="D85" s="1"/>
  <c r="D56"/>
  <c r="D141" s="1"/>
  <c r="D143" s="1"/>
  <c r="D58"/>
  <c r="D105" s="1"/>
  <c r="D107" s="1"/>
  <c r="D64"/>
  <c r="D179"/>
  <c r="D180"/>
  <c r="D181"/>
  <c r="D182"/>
  <c r="D183"/>
  <c r="D184"/>
  <c r="D154"/>
  <c r="F24" i="5"/>
  <c r="Q24" s="1"/>
  <c r="D261" i="16"/>
  <c r="D262" s="1"/>
  <c r="D194"/>
  <c r="D195"/>
  <c r="D196"/>
  <c r="D197"/>
  <c r="D198"/>
  <c r="D199"/>
  <c r="D192"/>
  <c r="D240"/>
  <c r="D243"/>
  <c r="D244"/>
  <c r="D245"/>
  <c r="D246"/>
  <c r="D247"/>
  <c r="F33" i="5"/>
  <c r="D314" i="16" s="1"/>
  <c r="F35" i="5"/>
  <c r="F36"/>
  <c r="B23" i="2" s="1"/>
  <c r="F39" i="5"/>
  <c r="F41"/>
  <c r="B26" i="2" s="1"/>
  <c r="F40" i="5"/>
  <c r="D292" i="16"/>
  <c r="F42" i="5" s="1"/>
  <c r="A51" i="6"/>
  <c r="A50"/>
  <c r="A49"/>
  <c r="A48"/>
  <c r="A47"/>
  <c r="A46"/>
  <c r="A45"/>
  <c r="A44"/>
  <c r="A43"/>
  <c r="O341" i="16"/>
  <c r="P341"/>
  <c r="O326"/>
  <c r="Q326" s="1"/>
  <c r="P326"/>
  <c r="H27" i="11"/>
  <c r="H29"/>
  <c r="E25" i="4"/>
  <c r="F28" i="55"/>
  <c r="F33" s="1"/>
  <c r="F64" s="1"/>
  <c r="H63" s="1"/>
  <c r="F50"/>
  <c r="D110" i="9"/>
  <c r="H107"/>
  <c r="H109"/>
  <c r="H111"/>
  <c r="H112"/>
  <c r="H116"/>
  <c r="H117"/>
  <c r="H118"/>
  <c r="H119"/>
  <c r="H121"/>
  <c r="H123"/>
  <c r="H124"/>
  <c r="H95"/>
  <c r="H96"/>
  <c r="D96"/>
  <c r="J288" i="16" s="1"/>
  <c r="Q11" i="5"/>
  <c r="Q26"/>
  <c r="Q33"/>
  <c r="Q34"/>
  <c r="Q36"/>
  <c r="Q41"/>
  <c r="D120" i="16"/>
  <c r="J124"/>
  <c r="J123"/>
  <c r="J125" s="1"/>
  <c r="J122"/>
  <c r="J116"/>
  <c r="J119"/>
  <c r="P42" i="5"/>
  <c r="P35"/>
  <c r="P32"/>
  <c r="P31"/>
  <c r="B51" i="34"/>
  <c r="B44"/>
  <c r="G29" i="6"/>
  <c r="G32"/>
  <c r="G30"/>
  <c r="C8"/>
  <c r="C11" s="1"/>
  <c r="C20" s="1"/>
  <c r="C25" s="1"/>
  <c r="C35" s="1"/>
  <c r="D8"/>
  <c r="D11" s="1"/>
  <c r="D20" s="1"/>
  <c r="D25" s="1"/>
  <c r="D35" s="1"/>
  <c r="J247" i="16"/>
  <c r="J45"/>
  <c r="J49" i="55"/>
  <c r="J51" s="1"/>
  <c r="J53"/>
  <c r="I38" i="58"/>
  <c r="M38" s="1"/>
  <c r="H22" i="9"/>
  <c r="J33" i="10"/>
  <c r="Y160" i="58"/>
  <c r="M160"/>
  <c r="H120" i="9"/>
  <c r="F10" i="55"/>
  <c r="F25"/>
  <c r="L20" i="58"/>
  <c r="L22"/>
  <c r="M22" s="1"/>
  <c r="L21"/>
  <c r="M21" s="1"/>
  <c r="U21" s="1"/>
  <c r="Z21" s="1"/>
  <c r="M76"/>
  <c r="U76" s="1"/>
  <c r="Z76" s="1"/>
  <c r="L81"/>
  <c r="K81"/>
  <c r="T173"/>
  <c r="D29" i="10"/>
  <c r="D51"/>
  <c r="D37"/>
  <c r="D36" s="1"/>
  <c r="D38"/>
  <c r="O312" i="16"/>
  <c r="C224" i="59"/>
  <c r="D165" i="16" s="1"/>
  <c r="D163" s="1"/>
  <c r="F18" i="5" s="1"/>
  <c r="C222" i="59"/>
  <c r="D160" i="16" s="1"/>
  <c r="D158" s="1"/>
  <c r="C25" i="32"/>
  <c r="AE92" i="58"/>
  <c r="AD92"/>
  <c r="J81"/>
  <c r="J83" s="1"/>
  <c r="M18"/>
  <c r="U18" s="1"/>
  <c r="M17"/>
  <c r="J31"/>
  <c r="K31"/>
  <c r="B61" i="10"/>
  <c r="H20" i="34"/>
  <c r="H9"/>
  <c r="H8"/>
  <c r="H47"/>
  <c r="D266" i="16"/>
  <c r="D268" s="1"/>
  <c r="J22" i="12"/>
  <c r="K101" i="9"/>
  <c r="M41" i="58"/>
  <c r="U41" s="1"/>
  <c r="Z41" s="1"/>
  <c r="M40"/>
  <c r="U40" s="1"/>
  <c r="M39"/>
  <c r="L42"/>
  <c r="D38" i="9"/>
  <c r="E26" i="10"/>
  <c r="F26"/>
  <c r="E28"/>
  <c r="F51" i="55" s="1"/>
  <c r="E27" i="10"/>
  <c r="H22" i="31"/>
  <c r="B22"/>
  <c r="M46" i="58"/>
  <c r="M15"/>
  <c r="M16"/>
  <c r="M19"/>
  <c r="M24"/>
  <c r="H29" i="9" s="1"/>
  <c r="H28" s="1"/>
  <c r="D29" s="1"/>
  <c r="M25" i="58"/>
  <c r="M26"/>
  <c r="N23"/>
  <c r="D23" i="9" s="1"/>
  <c r="N24" i="58"/>
  <c r="D31" i="9" s="1"/>
  <c r="M66" i="58"/>
  <c r="M67"/>
  <c r="U67" s="1"/>
  <c r="Z67" s="1"/>
  <c r="M68"/>
  <c r="M69"/>
  <c r="U69"/>
  <c r="M70"/>
  <c r="M71"/>
  <c r="U71" s="1"/>
  <c r="Z71" s="1"/>
  <c r="M72"/>
  <c r="M73"/>
  <c r="U73" s="1"/>
  <c r="Z73" s="1"/>
  <c r="M74"/>
  <c r="M75"/>
  <c r="U75" s="1"/>
  <c r="Z75" s="1"/>
  <c r="M77"/>
  <c r="M78"/>
  <c r="U78"/>
  <c r="M65"/>
  <c r="M30"/>
  <c r="M29"/>
  <c r="M181"/>
  <c r="U181" s="1"/>
  <c r="Z181" s="1"/>
  <c r="L169"/>
  <c r="M169" s="1"/>
  <c r="L21" i="9"/>
  <c r="K42" i="58"/>
  <c r="K44"/>
  <c r="K229"/>
  <c r="K231" s="1"/>
  <c r="K22" i="9"/>
  <c r="M5" i="58"/>
  <c r="N6" i="9"/>
  <c r="P6" s="1"/>
  <c r="N4"/>
  <c r="P4" s="1"/>
  <c r="J42" i="58"/>
  <c r="J44" s="1"/>
  <c r="N189"/>
  <c r="T22"/>
  <c r="T20"/>
  <c r="T27" s="1"/>
  <c r="T31" s="1"/>
  <c r="U39"/>
  <c r="I81"/>
  <c r="L44"/>
  <c r="T204"/>
  <c r="M104"/>
  <c r="L23"/>
  <c r="M23" s="1"/>
  <c r="U23" s="1"/>
  <c r="Y173"/>
  <c r="N172"/>
  <c r="Y172"/>
  <c r="T171"/>
  <c r="T174" s="1"/>
  <c r="T176" s="1"/>
  <c r="Y171"/>
  <c r="N42"/>
  <c r="D48" i="9" s="1"/>
  <c r="O42" i="58"/>
  <c r="O44" s="1"/>
  <c r="P42"/>
  <c r="P44" s="1"/>
  <c r="R42"/>
  <c r="R44" s="1"/>
  <c r="O27"/>
  <c r="O31" s="1"/>
  <c r="P27"/>
  <c r="P31" s="1"/>
  <c r="Q27"/>
  <c r="Q31" s="1"/>
  <c r="R27"/>
  <c r="R31" s="1"/>
  <c r="S27"/>
  <c r="S31" s="1"/>
  <c r="H27"/>
  <c r="H31" s="1"/>
  <c r="I27"/>
  <c r="I31" s="1"/>
  <c r="I225"/>
  <c r="L225"/>
  <c r="N225"/>
  <c r="O225"/>
  <c r="P225"/>
  <c r="Q225"/>
  <c r="R225"/>
  <c r="S225"/>
  <c r="T225"/>
  <c r="I219"/>
  <c r="L219"/>
  <c r="N219"/>
  <c r="O219"/>
  <c r="P219"/>
  <c r="Q219"/>
  <c r="R219"/>
  <c r="S219"/>
  <c r="T219"/>
  <c r="I206"/>
  <c r="L206"/>
  <c r="N206"/>
  <c r="O206"/>
  <c r="P206"/>
  <c r="Q206"/>
  <c r="R206"/>
  <c r="S206"/>
  <c r="T206"/>
  <c r="I197"/>
  <c r="I199" s="1"/>
  <c r="L197"/>
  <c r="L199" s="1"/>
  <c r="N197"/>
  <c r="N199" s="1"/>
  <c r="O197"/>
  <c r="O199" s="1"/>
  <c r="P197"/>
  <c r="P199"/>
  <c r="Q197"/>
  <c r="Q199" s="1"/>
  <c r="R197"/>
  <c r="R199" s="1"/>
  <c r="S197"/>
  <c r="S199" s="1"/>
  <c r="T197"/>
  <c r="T199" s="1"/>
  <c r="I191"/>
  <c r="I193" s="1"/>
  <c r="L191"/>
  <c r="L193" s="1"/>
  <c r="N191"/>
  <c r="N193" s="1"/>
  <c r="O191"/>
  <c r="O193" s="1"/>
  <c r="P191"/>
  <c r="P193" s="1"/>
  <c r="Q191"/>
  <c r="Q193" s="1"/>
  <c r="R191"/>
  <c r="R193" s="1"/>
  <c r="S191"/>
  <c r="S193" s="1"/>
  <c r="T191"/>
  <c r="T193" s="1"/>
  <c r="I185"/>
  <c r="L185"/>
  <c r="N185"/>
  <c r="O185"/>
  <c r="P185"/>
  <c r="Q185"/>
  <c r="T185"/>
  <c r="I174"/>
  <c r="I176"/>
  <c r="F41" i="55" s="1"/>
  <c r="L174" i="58"/>
  <c r="L176" s="1"/>
  <c r="O174"/>
  <c r="O176" s="1"/>
  <c r="P174"/>
  <c r="P176" s="1"/>
  <c r="Q174"/>
  <c r="Q176" s="1"/>
  <c r="S174"/>
  <c r="S176" s="1"/>
  <c r="I165"/>
  <c r="L165"/>
  <c r="N165"/>
  <c r="O165"/>
  <c r="P165"/>
  <c r="Q165"/>
  <c r="R165"/>
  <c r="S165"/>
  <c r="T165"/>
  <c r="T167" s="1"/>
  <c r="I125"/>
  <c r="L125"/>
  <c r="N125"/>
  <c r="O125"/>
  <c r="O167" s="1"/>
  <c r="P125"/>
  <c r="Q125"/>
  <c r="Q167" s="1"/>
  <c r="R125"/>
  <c r="S125"/>
  <c r="S167" s="1"/>
  <c r="T125"/>
  <c r="I116"/>
  <c r="L116"/>
  <c r="N116"/>
  <c r="O116"/>
  <c r="P116"/>
  <c r="Q116"/>
  <c r="R116"/>
  <c r="S116"/>
  <c r="T116"/>
  <c r="I111"/>
  <c r="L111"/>
  <c r="L118" s="1"/>
  <c r="N111"/>
  <c r="O111"/>
  <c r="O118" s="1"/>
  <c r="P111"/>
  <c r="Q111"/>
  <c r="Q118" s="1"/>
  <c r="R111"/>
  <c r="S111"/>
  <c r="S118" s="1"/>
  <c r="T111"/>
  <c r="I105"/>
  <c r="I107" s="1"/>
  <c r="L105"/>
  <c r="L107"/>
  <c r="N105"/>
  <c r="N107"/>
  <c r="O105"/>
  <c r="O107"/>
  <c r="P105"/>
  <c r="P107"/>
  <c r="Q105"/>
  <c r="Q107"/>
  <c r="R105"/>
  <c r="R107"/>
  <c r="S105"/>
  <c r="S107" s="1"/>
  <c r="T105"/>
  <c r="T107"/>
  <c r="N81"/>
  <c r="O81"/>
  <c r="P81"/>
  <c r="Q81"/>
  <c r="R81"/>
  <c r="S81"/>
  <c r="T81"/>
  <c r="I48"/>
  <c r="I83" s="1"/>
  <c r="L48"/>
  <c r="L83" s="1"/>
  <c r="N48"/>
  <c r="O48"/>
  <c r="P48"/>
  <c r="Q48"/>
  <c r="T48"/>
  <c r="T83"/>
  <c r="I34"/>
  <c r="I36"/>
  <c r="L34"/>
  <c r="L36"/>
  <c r="M34"/>
  <c r="M36"/>
  <c r="N34"/>
  <c r="N36"/>
  <c r="O34"/>
  <c r="O36"/>
  <c r="P34"/>
  <c r="P36"/>
  <c r="Q34"/>
  <c r="R34"/>
  <c r="R36" s="1"/>
  <c r="S34"/>
  <c r="S36" s="1"/>
  <c r="T34"/>
  <c r="T36" s="1"/>
  <c r="Q36"/>
  <c r="I10"/>
  <c r="F12" i="55" s="1"/>
  <c r="L10" i="58"/>
  <c r="N10"/>
  <c r="O10"/>
  <c r="P10"/>
  <c r="Q10"/>
  <c r="R10"/>
  <c r="S10"/>
  <c r="T10"/>
  <c r="N7"/>
  <c r="N12" s="1"/>
  <c r="O7"/>
  <c r="P7"/>
  <c r="P12" s="1"/>
  <c r="Q7"/>
  <c r="Q12" s="1"/>
  <c r="R7"/>
  <c r="R12" s="1"/>
  <c r="S7"/>
  <c r="T7"/>
  <c r="T12"/>
  <c r="I7"/>
  <c r="I12"/>
  <c r="L7"/>
  <c r="L12"/>
  <c r="N171"/>
  <c r="N173"/>
  <c r="M109"/>
  <c r="M111"/>
  <c r="AD48"/>
  <c r="N27"/>
  <c r="N31" s="1"/>
  <c r="Z28"/>
  <c r="Z32"/>
  <c r="Z35"/>
  <c r="Z43"/>
  <c r="Z45"/>
  <c r="Z47"/>
  <c r="Z49"/>
  <c r="Z80"/>
  <c r="Z82"/>
  <c r="Z84"/>
  <c r="Z106"/>
  <c r="Z108"/>
  <c r="Z110"/>
  <c r="Z112"/>
  <c r="Z115"/>
  <c r="Z117"/>
  <c r="Z119"/>
  <c r="Z124"/>
  <c r="Z126"/>
  <c r="Z164"/>
  <c r="Z166"/>
  <c r="Z175"/>
  <c r="Z177"/>
  <c r="Z184"/>
  <c r="Z186"/>
  <c r="Z190"/>
  <c r="Z192"/>
  <c r="Z194"/>
  <c r="Z196"/>
  <c r="Z198"/>
  <c r="Z200"/>
  <c r="Z205"/>
  <c r="Z207"/>
  <c r="Z218"/>
  <c r="Z220"/>
  <c r="Z223"/>
  <c r="Z226"/>
  <c r="Z228"/>
  <c r="Z230"/>
  <c r="Z232"/>
  <c r="U5"/>
  <c r="U227"/>
  <c r="Z227" s="1"/>
  <c r="U168"/>
  <c r="Z168" s="1"/>
  <c r="U113"/>
  <c r="Z113" s="1"/>
  <c r="U104"/>
  <c r="Z104" s="1"/>
  <c r="U33"/>
  <c r="U30"/>
  <c r="Z30" s="1"/>
  <c r="M152"/>
  <c r="U152" s="1"/>
  <c r="N44"/>
  <c r="L167"/>
  <c r="I222"/>
  <c r="L222"/>
  <c r="M224"/>
  <c r="M225" s="1"/>
  <c r="M221"/>
  <c r="U221" s="1"/>
  <c r="M217"/>
  <c r="H13" i="14" s="1"/>
  <c r="M216" i="58"/>
  <c r="U216" s="1"/>
  <c r="Z216" s="1"/>
  <c r="M215"/>
  <c r="U215"/>
  <c r="Z215" s="1"/>
  <c r="M214"/>
  <c r="U214" s="1"/>
  <c r="Z214" s="1"/>
  <c r="M213"/>
  <c r="U213" s="1"/>
  <c r="M212"/>
  <c r="H14" i="14" s="1"/>
  <c r="M210" i="58"/>
  <c r="U210" s="1"/>
  <c r="M209"/>
  <c r="M208"/>
  <c r="M204"/>
  <c r="U204" s="1"/>
  <c r="Z204" s="1"/>
  <c r="M203"/>
  <c r="H9" i="14" s="1"/>
  <c r="M202" i="58"/>
  <c r="H10" i="14" s="1"/>
  <c r="M201" i="58"/>
  <c r="G38" i="12" s="1"/>
  <c r="M195" i="58"/>
  <c r="H71" i="11" s="1"/>
  <c r="H74" s="1"/>
  <c r="E37" i="4" s="1"/>
  <c r="M189" i="58"/>
  <c r="M188"/>
  <c r="U188"/>
  <c r="Z188" s="1"/>
  <c r="M187"/>
  <c r="J16" i="11" s="1"/>
  <c r="M183" i="58"/>
  <c r="U183" s="1"/>
  <c r="Z183" s="1"/>
  <c r="M182"/>
  <c r="U182"/>
  <c r="Z182" s="1"/>
  <c r="M180"/>
  <c r="U180"/>
  <c r="Z180" s="1"/>
  <c r="M179"/>
  <c r="U179" s="1"/>
  <c r="Z179" s="1"/>
  <c r="M178"/>
  <c r="M173"/>
  <c r="U173" s="1"/>
  <c r="M172"/>
  <c r="U172" s="1"/>
  <c r="M171"/>
  <c r="M170"/>
  <c r="M163"/>
  <c r="U163" s="1"/>
  <c r="M162"/>
  <c r="U162" s="1"/>
  <c r="M161"/>
  <c r="U161" s="1"/>
  <c r="Z161" s="1"/>
  <c r="M159"/>
  <c r="U159" s="1"/>
  <c r="Z159" s="1"/>
  <c r="M158"/>
  <c r="U158" s="1"/>
  <c r="Z158" s="1"/>
  <c r="M157"/>
  <c r="U157"/>
  <c r="D116" i="9" s="1"/>
  <c r="M156" i="58"/>
  <c r="M155"/>
  <c r="U155" s="1"/>
  <c r="M154"/>
  <c r="H135" i="9" s="1"/>
  <c r="M153" i="58"/>
  <c r="U153" s="1"/>
  <c r="Z153" s="1"/>
  <c r="M151"/>
  <c r="U151" s="1"/>
  <c r="Z151" s="1"/>
  <c r="M150"/>
  <c r="U150" s="1"/>
  <c r="Z150" s="1"/>
  <c r="M149"/>
  <c r="U149"/>
  <c r="Z149" s="1"/>
  <c r="M148"/>
  <c r="U148" s="1"/>
  <c r="Z148" s="1"/>
  <c r="M147"/>
  <c r="U147" s="1"/>
  <c r="Z147" s="1"/>
  <c r="M146"/>
  <c r="U146" s="1"/>
  <c r="M145"/>
  <c r="U145" s="1"/>
  <c r="Z145" s="1"/>
  <c r="M144"/>
  <c r="U144"/>
  <c r="Z144" s="1"/>
  <c r="M143"/>
  <c r="U143" s="1"/>
  <c r="M142"/>
  <c r="U142" s="1"/>
  <c r="M141"/>
  <c r="U141"/>
  <c r="Z141" s="1"/>
  <c r="M140"/>
  <c r="H134" i="9" s="1"/>
  <c r="M139" i="58"/>
  <c r="M138"/>
  <c r="U138" s="1"/>
  <c r="Z138" s="1"/>
  <c r="M137"/>
  <c r="U137" s="1"/>
  <c r="M136"/>
  <c r="U136" s="1"/>
  <c r="Z136" s="1"/>
  <c r="M135"/>
  <c r="U135"/>
  <c r="Z135" s="1"/>
  <c r="M134"/>
  <c r="U134" s="1"/>
  <c r="D119" i="9" s="1"/>
  <c r="M133" i="58"/>
  <c r="U133" s="1"/>
  <c r="M132"/>
  <c r="U132" s="1"/>
  <c r="Z132" s="1"/>
  <c r="M131"/>
  <c r="H132" i="9"/>
  <c r="M130" i="58"/>
  <c r="H131" i="9"/>
  <c r="M129" i="58"/>
  <c r="U129"/>
  <c r="Z129" s="1"/>
  <c r="M128"/>
  <c r="U128" s="1"/>
  <c r="Z128" s="1"/>
  <c r="M127"/>
  <c r="M123"/>
  <c r="U123" s="1"/>
  <c r="M122"/>
  <c r="U122" s="1"/>
  <c r="M121"/>
  <c r="U121" s="1"/>
  <c r="M120"/>
  <c r="M125"/>
  <c r="M114"/>
  <c r="M116"/>
  <c r="M103"/>
  <c r="U103"/>
  <c r="M102"/>
  <c r="U102"/>
  <c r="Z102" s="1"/>
  <c r="M101"/>
  <c r="U101" s="1"/>
  <c r="Z101" s="1"/>
  <c r="M100"/>
  <c r="U100" s="1"/>
  <c r="Z100" s="1"/>
  <c r="M99"/>
  <c r="U99" s="1"/>
  <c r="Z99" s="1"/>
  <c r="M98"/>
  <c r="U98"/>
  <c r="Z98" s="1"/>
  <c r="M97"/>
  <c r="U97" s="1"/>
  <c r="Z97" s="1"/>
  <c r="M96"/>
  <c r="U96" s="1"/>
  <c r="Z96" s="1"/>
  <c r="M95"/>
  <c r="U95" s="1"/>
  <c r="Z95" s="1"/>
  <c r="M94"/>
  <c r="U94"/>
  <c r="Z94" s="1"/>
  <c r="M93"/>
  <c r="U93" s="1"/>
  <c r="Z93" s="1"/>
  <c r="M92"/>
  <c r="U92" s="1"/>
  <c r="Z92" s="1"/>
  <c r="M91"/>
  <c r="U91" s="1"/>
  <c r="Z91" s="1"/>
  <c r="M90"/>
  <c r="U90"/>
  <c r="Z90" s="1"/>
  <c r="M89"/>
  <c r="U89" s="1"/>
  <c r="Z89" s="1"/>
  <c r="M88"/>
  <c r="U88" s="1"/>
  <c r="Z88" s="1"/>
  <c r="M87"/>
  <c r="U87" s="1"/>
  <c r="M86"/>
  <c r="U86"/>
  <c r="Z86" s="1"/>
  <c r="M85"/>
  <c r="M79"/>
  <c r="U79" s="1"/>
  <c r="Z79" s="1"/>
  <c r="Z78"/>
  <c r="U77"/>
  <c r="Z77"/>
  <c r="U74"/>
  <c r="Z74"/>
  <c r="U72"/>
  <c r="Z72" s="1"/>
  <c r="U70"/>
  <c r="Z70"/>
  <c r="Z69"/>
  <c r="U68"/>
  <c r="Z68" s="1"/>
  <c r="U66"/>
  <c r="Z66"/>
  <c r="U65"/>
  <c r="Z65"/>
  <c r="M64"/>
  <c r="U64"/>
  <c r="Z64" s="1"/>
  <c r="M63"/>
  <c r="U63" s="1"/>
  <c r="Z63" s="1"/>
  <c r="M62"/>
  <c r="U62" s="1"/>
  <c r="Z62" s="1"/>
  <c r="M61"/>
  <c r="U61" s="1"/>
  <c r="Z61" s="1"/>
  <c r="M60"/>
  <c r="U60"/>
  <c r="Z60" s="1"/>
  <c r="M59"/>
  <c r="U59" s="1"/>
  <c r="Z59" s="1"/>
  <c r="M58"/>
  <c r="U58" s="1"/>
  <c r="Z58" s="1"/>
  <c r="M57"/>
  <c r="U57" s="1"/>
  <c r="Z57" s="1"/>
  <c r="M56"/>
  <c r="U56"/>
  <c r="Z56" s="1"/>
  <c r="M55"/>
  <c r="U55" s="1"/>
  <c r="Z55" s="1"/>
  <c r="M54"/>
  <c r="U54" s="1"/>
  <c r="M53"/>
  <c r="U53" s="1"/>
  <c r="Z53" s="1"/>
  <c r="M52"/>
  <c r="U52"/>
  <c r="Z52" s="1"/>
  <c r="M51"/>
  <c r="U51" s="1"/>
  <c r="Z51" s="1"/>
  <c r="M50"/>
  <c r="M47"/>
  <c r="M48"/>
  <c r="M45"/>
  <c r="U29"/>
  <c r="U26"/>
  <c r="U25"/>
  <c r="Z25" s="1"/>
  <c r="U24"/>
  <c r="Z24" s="1"/>
  <c r="U19"/>
  <c r="Z19" s="1"/>
  <c r="U17"/>
  <c r="Z17" s="1"/>
  <c r="U16"/>
  <c r="Z16" s="1"/>
  <c r="U15"/>
  <c r="Z15" s="1"/>
  <c r="U14"/>
  <c r="Z14" s="1"/>
  <c r="M9"/>
  <c r="U9" s="1"/>
  <c r="M6"/>
  <c r="U114"/>
  <c r="U130"/>
  <c r="D131" i="9" s="1"/>
  <c r="M197" i="58"/>
  <c r="M199" s="1"/>
  <c r="U195"/>
  <c r="U197" s="1"/>
  <c r="M222"/>
  <c r="U120"/>
  <c r="D107" i="9" s="1"/>
  <c r="M165" i="58"/>
  <c r="M167" s="1"/>
  <c r="H146" i="9" s="1"/>
  <c r="K146" s="1"/>
  <c r="U170" i="58"/>
  <c r="Z170" s="1"/>
  <c r="U208"/>
  <c r="D12" i="14" s="1"/>
  <c r="U224" i="58"/>
  <c r="M191"/>
  <c r="M193" s="1"/>
  <c r="U46"/>
  <c r="Z46"/>
  <c r="W40"/>
  <c r="W38"/>
  <c r="H23" i="12"/>
  <c r="C43" i="31"/>
  <c r="C22"/>
  <c r="E14" i="10"/>
  <c r="G21" i="30"/>
  <c r="H21"/>
  <c r="F29" i="10"/>
  <c r="F28"/>
  <c r="F52" i="55" s="1"/>
  <c r="K24" i="31"/>
  <c r="F24"/>
  <c r="K23"/>
  <c r="F23"/>
  <c r="M23" s="1"/>
  <c r="K22"/>
  <c r="G68" i="12"/>
  <c r="G69" s="1"/>
  <c r="C655" i="59"/>
  <c r="K25" i="32"/>
  <c r="F39"/>
  <c r="F36"/>
  <c r="F37"/>
  <c r="K38"/>
  <c r="F38"/>
  <c r="K22"/>
  <c r="F22"/>
  <c r="M22" s="1"/>
  <c r="K21"/>
  <c r="F21"/>
  <c r="K20"/>
  <c r="F20"/>
  <c r="J56"/>
  <c r="J52"/>
  <c r="J50"/>
  <c r="J48"/>
  <c r="J45"/>
  <c r="J43"/>
  <c r="J40"/>
  <c r="J35"/>
  <c r="J31"/>
  <c r="J27"/>
  <c r="J24"/>
  <c r="J10"/>
  <c r="J8"/>
  <c r="K33"/>
  <c r="F33"/>
  <c r="K26"/>
  <c r="F26"/>
  <c r="M26" s="1"/>
  <c r="F25"/>
  <c r="M25" s="1"/>
  <c r="M24" s="1"/>
  <c r="I58" i="31"/>
  <c r="I59"/>
  <c r="J58"/>
  <c r="K48"/>
  <c r="I49"/>
  <c r="K31"/>
  <c r="F31"/>
  <c r="C8"/>
  <c r="D14" i="10"/>
  <c r="B8" i="31"/>
  <c r="D12" i="10"/>
  <c r="D22" s="1"/>
  <c r="E8" i="31"/>
  <c r="D8"/>
  <c r="X2" i="58"/>
  <c r="D400" i="16"/>
  <c r="H4" i="12"/>
  <c r="G11"/>
  <c r="G70"/>
  <c r="G10"/>
  <c r="I37"/>
  <c r="F25" i="35"/>
  <c r="G25" s="1"/>
  <c r="F24"/>
  <c r="G24" s="1"/>
  <c r="E23"/>
  <c r="D23"/>
  <c r="C23"/>
  <c r="B23"/>
  <c r="D21"/>
  <c r="F21" s="1"/>
  <c r="E20"/>
  <c r="C20"/>
  <c r="B20"/>
  <c r="E12"/>
  <c r="C12"/>
  <c r="B12"/>
  <c r="D12" s="1"/>
  <c r="F10"/>
  <c r="F9" s="1"/>
  <c r="E9"/>
  <c r="D9"/>
  <c r="C9"/>
  <c r="B9"/>
  <c r="D46" i="34"/>
  <c r="E46" s="1"/>
  <c r="D45"/>
  <c r="C44"/>
  <c r="C47" s="1"/>
  <c r="D43"/>
  <c r="E43" s="1"/>
  <c r="D42"/>
  <c r="E42" s="1"/>
  <c r="D41"/>
  <c r="D40"/>
  <c r="E40"/>
  <c r="D39"/>
  <c r="E39"/>
  <c r="D38"/>
  <c r="E38"/>
  <c r="D37"/>
  <c r="E37"/>
  <c r="D36"/>
  <c r="E36"/>
  <c r="D35"/>
  <c r="E35"/>
  <c r="D23"/>
  <c r="C22"/>
  <c r="D22" s="1"/>
  <c r="E22" s="1"/>
  <c r="D21"/>
  <c r="B20"/>
  <c r="D20" s="1"/>
  <c r="E20" s="1"/>
  <c r="D12"/>
  <c r="D10"/>
  <c r="E10" s="1"/>
  <c r="C9"/>
  <c r="B9"/>
  <c r="D9" s="1"/>
  <c r="B8"/>
  <c r="M12" i="30"/>
  <c r="H27" i="40"/>
  <c r="D27"/>
  <c r="C25" i="53"/>
  <c r="H270" i="16"/>
  <c r="H23" i="28"/>
  <c r="H24"/>
  <c r="H25"/>
  <c r="H22"/>
  <c r="E23"/>
  <c r="E24"/>
  <c r="E25"/>
  <c r="E22"/>
  <c r="H279" i="16"/>
  <c r="L73" i="33"/>
  <c r="L74"/>
  <c r="N74" s="1"/>
  <c r="L37"/>
  <c r="N37" s="1"/>
  <c r="N36" s="1"/>
  <c r="J32"/>
  <c r="J28"/>
  <c r="J26" s="1"/>
  <c r="J22"/>
  <c r="L22"/>
  <c r="J23"/>
  <c r="L23"/>
  <c r="K492" i="59"/>
  <c r="J21" i="33" s="1"/>
  <c r="J20" s="1"/>
  <c r="J448" i="59"/>
  <c r="J123"/>
  <c r="J588"/>
  <c r="L24" i="33" s="1"/>
  <c r="N24" s="1"/>
  <c r="J172" i="59"/>
  <c r="L15" i="33" s="1"/>
  <c r="F65" i="55"/>
  <c r="D279" i="16"/>
  <c r="B77" i="35"/>
  <c r="B76" s="1"/>
  <c r="B57"/>
  <c r="B50"/>
  <c r="B49" s="1"/>
  <c r="B41"/>
  <c r="D41" s="1"/>
  <c r="B43"/>
  <c r="D43" s="1"/>
  <c r="C25" i="4"/>
  <c r="G25" s="1"/>
  <c r="H35" i="14"/>
  <c r="H74"/>
  <c r="H86" s="1"/>
  <c r="D35"/>
  <c r="D48"/>
  <c r="D61"/>
  <c r="D74"/>
  <c r="H47" i="11"/>
  <c r="H52"/>
  <c r="H139" i="9"/>
  <c r="C8" i="56"/>
  <c r="C9"/>
  <c r="D9"/>
  <c r="C10"/>
  <c r="D10"/>
  <c r="C11"/>
  <c r="C12"/>
  <c r="C13"/>
  <c r="C14"/>
  <c r="C15"/>
  <c r="C16"/>
  <c r="C17"/>
  <c r="C18"/>
  <c r="C19"/>
  <c r="C20"/>
  <c r="C21"/>
  <c r="C22"/>
  <c r="C23"/>
  <c r="C24"/>
  <c r="C25"/>
  <c r="C26"/>
  <c r="C27"/>
  <c r="C28"/>
  <c r="C29"/>
  <c r="C30"/>
  <c r="C31"/>
  <c r="C32"/>
  <c r="C33"/>
  <c r="C34"/>
  <c r="C35"/>
  <c r="C36"/>
  <c r="C37"/>
  <c r="C38"/>
  <c r="C39"/>
  <c r="C40"/>
  <c r="C41"/>
  <c r="C42"/>
  <c r="C43"/>
  <c r="C44"/>
  <c r="C45"/>
  <c r="C46"/>
  <c r="C47"/>
  <c r="B5" i="3"/>
  <c r="D5"/>
  <c r="B10"/>
  <c r="D10"/>
  <c r="C4" i="38"/>
  <c r="D3" i="37"/>
  <c r="D4"/>
  <c r="D5"/>
  <c r="D6"/>
  <c r="D7"/>
  <c r="D8"/>
  <c r="B9"/>
  <c r="C9"/>
  <c r="D9" s="1"/>
  <c r="B11" i="43"/>
  <c r="B69" i="2" s="1"/>
  <c r="B13" i="42"/>
  <c r="B58" i="2" s="1"/>
  <c r="B42" i="44" s="1"/>
  <c r="C42" s="1"/>
  <c r="E42" s="1"/>
  <c r="B11" i="2"/>
  <c r="C40"/>
  <c r="B49"/>
  <c r="A50"/>
  <c r="B50"/>
  <c r="A51"/>
  <c r="B51"/>
  <c r="A52"/>
  <c r="B52"/>
  <c r="A53"/>
  <c r="B53"/>
  <c r="A54"/>
  <c r="B54"/>
  <c r="A55"/>
  <c r="B55"/>
  <c r="A56"/>
  <c r="B56"/>
  <c r="A57"/>
  <c r="B57"/>
  <c r="A63"/>
  <c r="B63"/>
  <c r="A64"/>
  <c r="B64"/>
  <c r="A65"/>
  <c r="B65"/>
  <c r="A66"/>
  <c r="B66"/>
  <c r="A67"/>
  <c r="B67"/>
  <c r="A68"/>
  <c r="B68"/>
  <c r="A69"/>
  <c r="F3" i="1"/>
  <c r="F12"/>
  <c r="F15" s="1"/>
  <c r="F17" s="1"/>
  <c r="A3" i="44"/>
  <c r="C4"/>
  <c r="E4" s="1"/>
  <c r="A6"/>
  <c r="C91" i="36"/>
  <c r="D29" i="35"/>
  <c r="F29"/>
  <c r="C40"/>
  <c r="D42"/>
  <c r="F42" s="1"/>
  <c r="E43"/>
  <c r="E41"/>
  <c r="B45"/>
  <c r="C45"/>
  <c r="E45"/>
  <c r="D46"/>
  <c r="F46" s="1"/>
  <c r="F45" s="1"/>
  <c r="D47"/>
  <c r="F47" s="1"/>
  <c r="C49"/>
  <c r="D49"/>
  <c r="E50"/>
  <c r="E49" s="1"/>
  <c r="B52"/>
  <c r="C52"/>
  <c r="E52"/>
  <c r="D53"/>
  <c r="D52" s="1"/>
  <c r="C56"/>
  <c r="E57"/>
  <c r="E56" s="1"/>
  <c r="B59"/>
  <c r="C59"/>
  <c r="D59"/>
  <c r="E59"/>
  <c r="F59"/>
  <c r="B72"/>
  <c r="C72"/>
  <c r="D72"/>
  <c r="E72"/>
  <c r="C76"/>
  <c r="E77"/>
  <c r="E76" s="1"/>
  <c r="D78"/>
  <c r="F78" s="1"/>
  <c r="K13" i="59"/>
  <c r="J11" i="33" s="1"/>
  <c r="J64" i="59"/>
  <c r="J94"/>
  <c r="J110"/>
  <c r="B11" i="33"/>
  <c r="B10" s="1"/>
  <c r="D11"/>
  <c r="D10" s="1"/>
  <c r="K226" i="59"/>
  <c r="J14" i="33" s="1"/>
  <c r="K283" i="59"/>
  <c r="J16" i="33" s="1"/>
  <c r="K514" i="59"/>
  <c r="J17" i="33" s="1"/>
  <c r="N17" s="1"/>
  <c r="K124" i="59"/>
  <c r="J18" i="33" s="1"/>
  <c r="J268" i="59"/>
  <c r="J279"/>
  <c r="J303"/>
  <c r="L16" i="33" s="1"/>
  <c r="J135" i="59"/>
  <c r="J163"/>
  <c r="B20" i="33"/>
  <c r="D24"/>
  <c r="D20" s="1"/>
  <c r="F24"/>
  <c r="F20" s="1"/>
  <c r="B26"/>
  <c r="D26"/>
  <c r="J338" i="59"/>
  <c r="F27" i="33"/>
  <c r="N27"/>
  <c r="F28"/>
  <c r="B30"/>
  <c r="D30"/>
  <c r="K174" i="59"/>
  <c r="J31" i="33" s="1"/>
  <c r="J198" i="59"/>
  <c r="L31" i="33" s="1"/>
  <c r="J604" i="59"/>
  <c r="J219"/>
  <c r="K367"/>
  <c r="J34" i="33" s="1"/>
  <c r="J385" i="59"/>
  <c r="L34" i="33" s="1"/>
  <c r="F31"/>
  <c r="F32"/>
  <c r="F30" s="1"/>
  <c r="F33"/>
  <c r="N33"/>
  <c r="F34"/>
  <c r="B36"/>
  <c r="D36"/>
  <c r="J36"/>
  <c r="F37"/>
  <c r="F36" s="1"/>
  <c r="B39"/>
  <c r="D39"/>
  <c r="J39"/>
  <c r="L39"/>
  <c r="F40"/>
  <c r="N40"/>
  <c r="F41"/>
  <c r="N41"/>
  <c r="B55"/>
  <c r="D55"/>
  <c r="K341" i="59"/>
  <c r="J56" i="33" s="1"/>
  <c r="J55" s="1"/>
  <c r="J364" i="59"/>
  <c r="L56" i="33" s="1"/>
  <c r="J489" i="59"/>
  <c r="L64" i="33" s="1"/>
  <c r="J653" i="59"/>
  <c r="L65" i="33" s="1"/>
  <c r="J419" i="59"/>
  <c r="L61" i="33" s="1"/>
  <c r="L58" s="1"/>
  <c r="F56"/>
  <c r="F55" s="1"/>
  <c r="B58"/>
  <c r="D58"/>
  <c r="K386" i="59"/>
  <c r="J61" i="33" s="1"/>
  <c r="F59"/>
  <c r="N59"/>
  <c r="F60"/>
  <c r="N60"/>
  <c r="F61"/>
  <c r="B63"/>
  <c r="D63"/>
  <c r="K456" i="59"/>
  <c r="J64" i="33" s="1"/>
  <c r="K616" i="59"/>
  <c r="J65" i="33" s="1"/>
  <c r="N65" s="1"/>
  <c r="F64"/>
  <c r="F63" s="1"/>
  <c r="F65"/>
  <c r="F66"/>
  <c r="N66"/>
  <c r="B68"/>
  <c r="D68"/>
  <c r="J68"/>
  <c r="L68"/>
  <c r="F69"/>
  <c r="F68" s="1"/>
  <c r="N69"/>
  <c r="F70"/>
  <c r="N70"/>
  <c r="B72"/>
  <c r="D72"/>
  <c r="K519" i="59"/>
  <c r="J73" i="33" s="1"/>
  <c r="N73" s="1"/>
  <c r="F73"/>
  <c r="F72" s="1"/>
  <c r="F74"/>
  <c r="F77"/>
  <c r="B8" i="32"/>
  <c r="C8"/>
  <c r="D8"/>
  <c r="E8"/>
  <c r="H8"/>
  <c r="I8"/>
  <c r="O8"/>
  <c r="F9"/>
  <c r="F8" s="1"/>
  <c r="K9"/>
  <c r="K8" s="1"/>
  <c r="B10"/>
  <c r="C10"/>
  <c r="D10"/>
  <c r="E10"/>
  <c r="H10"/>
  <c r="I10"/>
  <c r="O10"/>
  <c r="F11"/>
  <c r="M11" s="1"/>
  <c r="K11"/>
  <c r="F12"/>
  <c r="K12"/>
  <c r="F23"/>
  <c r="K23"/>
  <c r="B24"/>
  <c r="C24"/>
  <c r="D24"/>
  <c r="E24"/>
  <c r="H24"/>
  <c r="I24"/>
  <c r="O24"/>
  <c r="F24"/>
  <c r="K24"/>
  <c r="B27"/>
  <c r="C27"/>
  <c r="D27"/>
  <c r="E27"/>
  <c r="H27"/>
  <c r="I27"/>
  <c r="L27"/>
  <c r="O27"/>
  <c r="F28"/>
  <c r="K28"/>
  <c r="K27" s="1"/>
  <c r="F29"/>
  <c r="K29"/>
  <c r="M29" s="1"/>
  <c r="F30"/>
  <c r="K30"/>
  <c r="M30" s="1"/>
  <c r="B31"/>
  <c r="C31"/>
  <c r="D31"/>
  <c r="E31"/>
  <c r="H31"/>
  <c r="I31"/>
  <c r="O31"/>
  <c r="F32"/>
  <c r="K32"/>
  <c r="F34"/>
  <c r="K34"/>
  <c r="B35"/>
  <c r="C35"/>
  <c r="D35"/>
  <c r="E35"/>
  <c r="H35"/>
  <c r="I35"/>
  <c r="O35"/>
  <c r="K36"/>
  <c r="K37"/>
  <c r="M37" s="1"/>
  <c r="M35" s="1"/>
  <c r="K39"/>
  <c r="M39" s="1"/>
  <c r="B40"/>
  <c r="C40"/>
  <c r="D40"/>
  <c r="E40"/>
  <c r="H40"/>
  <c r="I40"/>
  <c r="L40"/>
  <c r="L59" s="1"/>
  <c r="O40"/>
  <c r="F41"/>
  <c r="M41" s="1"/>
  <c r="M40" s="1"/>
  <c r="F42"/>
  <c r="M42" s="1"/>
  <c r="K42"/>
  <c r="K40"/>
  <c r="B43"/>
  <c r="C43"/>
  <c r="D43"/>
  <c r="E43"/>
  <c r="H43"/>
  <c r="I43"/>
  <c r="L43"/>
  <c r="O43"/>
  <c r="F44"/>
  <c r="K44"/>
  <c r="B45"/>
  <c r="C45"/>
  <c r="D45"/>
  <c r="E45"/>
  <c r="H45"/>
  <c r="I45"/>
  <c r="O45"/>
  <c r="F46"/>
  <c r="M46" s="1"/>
  <c r="M45" s="1"/>
  <c r="K46"/>
  <c r="F47"/>
  <c r="K47"/>
  <c r="B48"/>
  <c r="C48"/>
  <c r="D48"/>
  <c r="E48"/>
  <c r="H48"/>
  <c r="I48"/>
  <c r="O48"/>
  <c r="F49"/>
  <c r="F48"/>
  <c r="K49"/>
  <c r="K48"/>
  <c r="B50"/>
  <c r="C50"/>
  <c r="D50"/>
  <c r="E50"/>
  <c r="H50"/>
  <c r="I50"/>
  <c r="O50"/>
  <c r="F51"/>
  <c r="F50" s="1"/>
  <c r="K51"/>
  <c r="K50" s="1"/>
  <c r="B52"/>
  <c r="C52"/>
  <c r="D52"/>
  <c r="E52"/>
  <c r="H52"/>
  <c r="H59" s="1"/>
  <c r="I52"/>
  <c r="O52"/>
  <c r="O59" s="1"/>
  <c r="F53"/>
  <c r="K53"/>
  <c r="F54"/>
  <c r="K54"/>
  <c r="M54" s="1"/>
  <c r="B56"/>
  <c r="C56"/>
  <c r="D56"/>
  <c r="E56"/>
  <c r="E59" s="1"/>
  <c r="H56"/>
  <c r="I56"/>
  <c r="I59" s="1"/>
  <c r="O56"/>
  <c r="F57"/>
  <c r="K57"/>
  <c r="K56" s="1"/>
  <c r="F58"/>
  <c r="H8" i="31"/>
  <c r="D13" i="10"/>
  <c r="D11" s="1"/>
  <c r="I8" i="31"/>
  <c r="D17" i="10" s="1"/>
  <c r="J8" i="31"/>
  <c r="N8"/>
  <c r="F9"/>
  <c r="M9" s="1"/>
  <c r="K9"/>
  <c r="F10"/>
  <c r="M10" s="1"/>
  <c r="K10"/>
  <c r="F11"/>
  <c r="K11"/>
  <c r="F12"/>
  <c r="K12"/>
  <c r="B21"/>
  <c r="E12" i="10" s="1"/>
  <c r="E37" s="1"/>
  <c r="C21" i="31"/>
  <c r="D21"/>
  <c r="E16" i="10" s="1"/>
  <c r="E21" i="31"/>
  <c r="H21"/>
  <c r="E13" i="10"/>
  <c r="I21" i="31"/>
  <c r="E17" i="10"/>
  <c r="J21" i="31"/>
  <c r="N21"/>
  <c r="B26"/>
  <c r="F12" i="10"/>
  <c r="C26" i="31"/>
  <c r="F14" i="10"/>
  <c r="H14" s="1"/>
  <c r="D26" i="31"/>
  <c r="E26"/>
  <c r="E36" s="1"/>
  <c r="H26"/>
  <c r="F13" i="10" s="1"/>
  <c r="I26" i="31"/>
  <c r="F17" i="10" s="1"/>
  <c r="J26" i="31"/>
  <c r="N26"/>
  <c r="N36" s="1"/>
  <c r="F27"/>
  <c r="K27"/>
  <c r="F28"/>
  <c r="F29"/>
  <c r="K29"/>
  <c r="F30"/>
  <c r="K30"/>
  <c r="M30" s="1"/>
  <c r="F32"/>
  <c r="K32"/>
  <c r="F33"/>
  <c r="K33"/>
  <c r="F34"/>
  <c r="K34"/>
  <c r="M34" s="1"/>
  <c r="F10" i="30"/>
  <c r="I10"/>
  <c r="I21" s="1"/>
  <c r="F11"/>
  <c r="J11" s="1"/>
  <c r="F12"/>
  <c r="J12" s="1"/>
  <c r="J20"/>
  <c r="G24"/>
  <c r="H24"/>
  <c r="H11" i="40"/>
  <c r="F56" i="55"/>
  <c r="D11" i="29"/>
  <c r="C32" i="4" s="1"/>
  <c r="H11" i="29"/>
  <c r="E32" i="4" s="1"/>
  <c r="C10" i="28"/>
  <c r="D10"/>
  <c r="E10"/>
  <c r="F10"/>
  <c r="C26"/>
  <c r="D26"/>
  <c r="E26"/>
  <c r="F26"/>
  <c r="G26"/>
  <c r="H26"/>
  <c r="D33" i="16"/>
  <c r="H33"/>
  <c r="H45"/>
  <c r="K53"/>
  <c r="L53" s="1"/>
  <c r="D77"/>
  <c r="H77"/>
  <c r="H85"/>
  <c r="D91"/>
  <c r="H91"/>
  <c r="D98"/>
  <c r="H98"/>
  <c r="H107"/>
  <c r="D114"/>
  <c r="H114"/>
  <c r="H122"/>
  <c r="D129"/>
  <c r="H129"/>
  <c r="D136"/>
  <c r="H136"/>
  <c r="H143"/>
  <c r="D206"/>
  <c r="H206"/>
  <c r="D211"/>
  <c r="H211"/>
  <c r="D216"/>
  <c r="H216"/>
  <c r="D221"/>
  <c r="H221"/>
  <c r="D226"/>
  <c r="H226"/>
  <c r="D231"/>
  <c r="H231"/>
  <c r="H268"/>
  <c r="H303"/>
  <c r="D348"/>
  <c r="D351" s="1"/>
  <c r="H351"/>
  <c r="D358"/>
  <c r="H358"/>
  <c r="D362"/>
  <c r="H362"/>
  <c r="D369"/>
  <c r="H369"/>
  <c r="D376"/>
  <c r="H376"/>
  <c r="D385"/>
  <c r="D386" s="1"/>
  <c r="H386"/>
  <c r="D390"/>
  <c r="D391" s="1"/>
  <c r="H391"/>
  <c r="H400"/>
  <c r="D407"/>
  <c r="H407"/>
  <c r="D412"/>
  <c r="H412"/>
  <c r="D417"/>
  <c r="H417"/>
  <c r="D422"/>
  <c r="H422"/>
  <c r="D30" i="14"/>
  <c r="D43"/>
  <c r="D56"/>
  <c r="D69"/>
  <c r="J23" i="12"/>
  <c r="C37" i="2"/>
  <c r="B38"/>
  <c r="C38"/>
  <c r="B39"/>
  <c r="C39"/>
  <c r="B40"/>
  <c r="B41"/>
  <c r="C41"/>
  <c r="C42"/>
  <c r="D16" i="11"/>
  <c r="H16"/>
  <c r="E31"/>
  <c r="F31"/>
  <c r="G31"/>
  <c r="D52"/>
  <c r="D54"/>
  <c r="C41" i="4" s="1"/>
  <c r="H54" i="11"/>
  <c r="H62" s="1"/>
  <c r="C11" i="10"/>
  <c r="G11"/>
  <c r="H20"/>
  <c r="C22"/>
  <c r="G22"/>
  <c r="C23"/>
  <c r="G23"/>
  <c r="G21" s="1"/>
  <c r="C26"/>
  <c r="H26" s="1"/>
  <c r="D26"/>
  <c r="G26"/>
  <c r="H28"/>
  <c r="H29"/>
  <c r="H30"/>
  <c r="H31"/>
  <c r="K31" s="1"/>
  <c r="C32"/>
  <c r="D32"/>
  <c r="E32"/>
  <c r="H33"/>
  <c r="H34"/>
  <c r="H35"/>
  <c r="C37"/>
  <c r="G37"/>
  <c r="C38"/>
  <c r="G38"/>
  <c r="F48"/>
  <c r="H36" i="9"/>
  <c r="D81"/>
  <c r="D85"/>
  <c r="C21" i="4" s="1"/>
  <c r="H85" i="9"/>
  <c r="E21" i="4" s="1"/>
  <c r="H99" i="9"/>
  <c r="D100" s="1"/>
  <c r="D99" s="1"/>
  <c r="E148"/>
  <c r="F148"/>
  <c r="G148"/>
  <c r="G26" i="4"/>
  <c r="G28"/>
  <c r="G29"/>
  <c r="G35"/>
  <c r="G43"/>
  <c r="G9" i="6"/>
  <c r="G10"/>
  <c r="E11"/>
  <c r="E20" s="1"/>
  <c r="E25" s="1"/>
  <c r="G23"/>
  <c r="G24"/>
  <c r="F34"/>
  <c r="G34"/>
  <c r="H7" i="58"/>
  <c r="U8"/>
  <c r="Z8" s="1"/>
  <c r="H10"/>
  <c r="U11"/>
  <c r="Z11" s="1"/>
  <c r="U13"/>
  <c r="Z13" s="1"/>
  <c r="I9" i="12"/>
  <c r="H34" i="58"/>
  <c r="H36" s="1"/>
  <c r="Q38"/>
  <c r="S38"/>
  <c r="Q40"/>
  <c r="H42"/>
  <c r="F7" i="6"/>
  <c r="R46" i="58"/>
  <c r="R48"/>
  <c r="R83" s="1"/>
  <c r="U48"/>
  <c r="Z48" s="1"/>
  <c r="H48"/>
  <c r="H81"/>
  <c r="H83"/>
  <c r="L5" i="9" s="1"/>
  <c r="L7" s="1"/>
  <c r="L26" s="1"/>
  <c r="H105" i="58"/>
  <c r="H107"/>
  <c r="H61" i="9" s="1"/>
  <c r="H63" s="1"/>
  <c r="H66" s="1"/>
  <c r="E17" i="4" s="1"/>
  <c r="E16" s="1"/>
  <c r="H111" i="58"/>
  <c r="H116"/>
  <c r="H118" s="1"/>
  <c r="H125"/>
  <c r="H165"/>
  <c r="H167" s="1"/>
  <c r="L105" i="9" s="1"/>
  <c r="R170" i="58"/>
  <c r="R174" s="1"/>
  <c r="R176" s="1"/>
  <c r="H174"/>
  <c r="H176"/>
  <c r="H8" i="10" s="1"/>
  <c r="R180" i="58"/>
  <c r="R182"/>
  <c r="R185" s="1"/>
  <c r="R183"/>
  <c r="S183"/>
  <c r="S185" s="1"/>
  <c r="H185"/>
  <c r="H191"/>
  <c r="H193" s="1"/>
  <c r="H197"/>
  <c r="H199" s="1"/>
  <c r="H206"/>
  <c r="H219"/>
  <c r="H222"/>
  <c r="N222"/>
  <c r="O222"/>
  <c r="P222"/>
  <c r="Q222"/>
  <c r="R222"/>
  <c r="S222"/>
  <c r="T222"/>
  <c r="H225"/>
  <c r="R227"/>
  <c r="S227" s="1"/>
  <c r="M5" i="59"/>
  <c r="M9"/>
  <c r="N10"/>
  <c r="M12"/>
  <c r="M13"/>
  <c r="Q74"/>
  <c r="J514"/>
  <c r="J655" s="1"/>
  <c r="J557"/>
  <c r="J564"/>
  <c r="J571"/>
  <c r="J584"/>
  <c r="J596"/>
  <c r="J612"/>
  <c r="C9" i="53"/>
  <c r="C10"/>
  <c r="C11"/>
  <c r="C12"/>
  <c r="C20"/>
  <c r="C21"/>
  <c r="C22"/>
  <c r="C24"/>
  <c r="C26"/>
  <c r="C27"/>
  <c r="C28"/>
  <c r="C29"/>
  <c r="C30"/>
  <c r="C31"/>
  <c r="C32"/>
  <c r="C33"/>
  <c r="C34"/>
  <c r="C35"/>
  <c r="C36"/>
  <c r="C37"/>
  <c r="C38"/>
  <c r="C39"/>
  <c r="C40"/>
  <c r="C41"/>
  <c r="C42"/>
  <c r="C44"/>
  <c r="C45"/>
  <c r="C46"/>
  <c r="C47"/>
  <c r="C48"/>
  <c r="C43" i="2"/>
  <c r="M58" i="32"/>
  <c r="F35"/>
  <c r="K31"/>
  <c r="F40"/>
  <c r="F27"/>
  <c r="F11" i="33"/>
  <c r="F10" s="1"/>
  <c r="F53" i="35"/>
  <c r="F52" s="1"/>
  <c r="M32" i="31"/>
  <c r="K8"/>
  <c r="P8" s="1"/>
  <c r="D45" i="35"/>
  <c r="D8" i="34"/>
  <c r="E8"/>
  <c r="C27" i="35"/>
  <c r="M57" i="32"/>
  <c r="M56" s="1"/>
  <c r="M32"/>
  <c r="H12" i="58"/>
  <c r="D62" i="11"/>
  <c r="C34" i="4" s="1"/>
  <c r="S40" i="58"/>
  <c r="S42" s="1"/>
  <c r="S44" s="1"/>
  <c r="H36" i="31"/>
  <c r="H40" s="1"/>
  <c r="C36"/>
  <c r="C39" s="1"/>
  <c r="C44" s="1"/>
  <c r="F43" i="32"/>
  <c r="F56"/>
  <c r="K43"/>
  <c r="M27" i="31"/>
  <c r="M26" s="1"/>
  <c r="M31"/>
  <c r="M33"/>
  <c r="K52" i="32"/>
  <c r="K59" s="1"/>
  <c r="K45"/>
  <c r="M53"/>
  <c r="M52" s="1"/>
  <c r="M49"/>
  <c r="M48" s="1"/>
  <c r="M44"/>
  <c r="M43" s="1"/>
  <c r="M36"/>
  <c r="M12"/>
  <c r="B37" i="2"/>
  <c r="B43"/>
  <c r="S37" i="58"/>
  <c r="D36" i="9"/>
  <c r="C13" i="4" s="1"/>
  <c r="H13" s="1"/>
  <c r="K35" i="32"/>
  <c r="D20" i="35"/>
  <c r="M12" i="31"/>
  <c r="M47" i="32"/>
  <c r="M23"/>
  <c r="M34"/>
  <c r="K10"/>
  <c r="M29" i="31"/>
  <c r="M28"/>
  <c r="K21"/>
  <c r="P21" s="1"/>
  <c r="P28" s="1"/>
  <c r="K26"/>
  <c r="P26" s="1"/>
  <c r="F26"/>
  <c r="M11"/>
  <c r="F27" i="6"/>
  <c r="G27" s="1"/>
  <c r="Z29" i="58"/>
  <c r="K99" i="9"/>
  <c r="U50" i="58"/>
  <c r="M105"/>
  <c r="M107" s="1"/>
  <c r="U85"/>
  <c r="Z85" s="1"/>
  <c r="U131"/>
  <c r="U6"/>
  <c r="Z6" s="1"/>
  <c r="M7"/>
  <c r="D37" i="6"/>
  <c r="X25" i="58"/>
  <c r="Z26"/>
  <c r="C40" i="31"/>
  <c r="C38" i="4"/>
  <c r="I36" i="31"/>
  <c r="I40" s="1"/>
  <c r="C59" i="32"/>
  <c r="D44" i="34"/>
  <c r="E44" s="1"/>
  <c r="B24"/>
  <c r="F27" i="10"/>
  <c r="H27"/>
  <c r="H23" i="9"/>
  <c r="E38" i="4"/>
  <c r="H38" s="1"/>
  <c r="U187" i="58"/>
  <c r="U201"/>
  <c r="H9" i="12" s="1"/>
  <c r="U109" i="58"/>
  <c r="Z109" s="1"/>
  <c r="I52" i="31"/>
  <c r="Z50" i="58"/>
  <c r="D33" i="34"/>
  <c r="E33"/>
  <c r="N39" i="33"/>
  <c r="H137" i="9"/>
  <c r="H136"/>
  <c r="F22" i="31"/>
  <c r="M22"/>
  <c r="U139" i="58"/>
  <c r="Z139"/>
  <c r="D132" i="9"/>
  <c r="Z131" i="58"/>
  <c r="Z187"/>
  <c r="M10"/>
  <c r="M12" s="1"/>
  <c r="Z157"/>
  <c r="U202"/>
  <c r="D10" i="14" s="1"/>
  <c r="U10" i="58"/>
  <c r="Z9"/>
  <c r="Z10"/>
  <c r="Q45" i="5"/>
  <c r="F41" i="7"/>
  <c r="F45" s="1"/>
  <c r="G87" i="12"/>
  <c r="G88"/>
  <c r="G13" i="35"/>
  <c r="F12"/>
  <c r="G12" s="1"/>
  <c r="D18"/>
  <c r="F45" i="32"/>
  <c r="B27" i="35"/>
  <c r="G17" i="12"/>
  <c r="G18" s="1"/>
  <c r="H32" i="10"/>
  <c r="B59" i="32"/>
  <c r="B62" s="1"/>
  <c r="F52"/>
  <c r="M28"/>
  <c r="M27" s="1"/>
  <c r="F39" i="33"/>
  <c r="F26"/>
  <c r="J59" i="32"/>
  <c r="M21"/>
  <c r="H24" i="34"/>
  <c r="H48" s="1"/>
  <c r="H35" i="5"/>
  <c r="R35" s="1"/>
  <c r="G36" i="12"/>
  <c r="H33"/>
  <c r="I33" s="1"/>
  <c r="H32"/>
  <c r="I32" s="1"/>
  <c r="H35"/>
  <c r="I35" s="1"/>
  <c r="H36"/>
  <c r="I36" s="1"/>
  <c r="H34"/>
  <c r="I34" s="1"/>
  <c r="F21" i="31"/>
  <c r="G16" i="12"/>
  <c r="G14" s="1"/>
  <c r="B25" i="2"/>
  <c r="L28" i="33"/>
  <c r="L26" s="1"/>
  <c r="L11"/>
  <c r="L10" s="1"/>
  <c r="C657" i="59"/>
  <c r="J16" i="5"/>
  <c r="H25" i="4"/>
  <c r="K313" i="16"/>
  <c r="H163"/>
  <c r="H173" s="1"/>
  <c r="O42" i="5"/>
  <c r="Q341" i="16"/>
  <c r="J323"/>
  <c r="H68"/>
  <c r="H23" i="5"/>
  <c r="H18"/>
  <c r="I14" i="7"/>
  <c r="J14" s="1"/>
  <c r="B14" i="44"/>
  <c r="C14" s="1"/>
  <c r="E14" s="1"/>
  <c r="Q31" i="5"/>
  <c r="B33" i="44"/>
  <c r="C33" s="1"/>
  <c r="E33" s="1"/>
  <c r="K655" i="59"/>
  <c r="J81" i="33" s="1"/>
  <c r="L47" i="16"/>
  <c r="D77" i="35"/>
  <c r="D76" s="1"/>
  <c r="F76" s="1"/>
  <c r="L32" i="33"/>
  <c r="L18"/>
  <c r="N22"/>
  <c r="L36"/>
  <c r="F50" i="35"/>
  <c r="F49" s="1"/>
  <c r="B40"/>
  <c r="L14" i="33"/>
  <c r="N11"/>
  <c r="N10" s="1"/>
  <c r="J10"/>
  <c r="L21"/>
  <c r="L20" s="1"/>
  <c r="L63"/>
  <c r="J24" i="10"/>
  <c r="D27" i="7"/>
  <c r="K339" i="16"/>
  <c r="K337"/>
  <c r="N21" i="33"/>
  <c r="Z87" i="58"/>
  <c r="Z103"/>
  <c r="D62" i="9"/>
  <c r="D121"/>
  <c r="Z162" i="58"/>
  <c r="J72" i="33"/>
  <c r="L55"/>
  <c r="N56"/>
  <c r="N55" s="1"/>
  <c r="Z134" i="58"/>
  <c r="D136" i="9"/>
  <c r="Z210" i="58"/>
  <c r="Z152"/>
  <c r="D137" i="9"/>
  <c r="H44" i="58"/>
  <c r="H46" i="9" s="1"/>
  <c r="G36" i="10"/>
  <c r="J36" i="31"/>
  <c r="D36"/>
  <c r="D40" s="1"/>
  <c r="F72" i="35"/>
  <c r="D86" i="14"/>
  <c r="C42" i="4" s="1"/>
  <c r="E27" i="35"/>
  <c r="X41" i="58"/>
  <c r="H133" i="9"/>
  <c r="X133" i="58"/>
  <c r="U203"/>
  <c r="D9" i="14" s="1"/>
  <c r="U212" i="58"/>
  <c r="Z212" s="1"/>
  <c r="U217"/>
  <c r="Z217" s="1"/>
  <c r="S12"/>
  <c r="O12"/>
  <c r="O83"/>
  <c r="N167"/>
  <c r="C36" i="10"/>
  <c r="F31" i="32"/>
  <c r="F59"/>
  <c r="F10"/>
  <c r="N68" i="33"/>
  <c r="C24" i="34"/>
  <c r="C48"/>
  <c r="M33" i="32"/>
  <c r="M31"/>
  <c r="M38"/>
  <c r="M118" i="58"/>
  <c r="M16" i="31"/>
  <c r="M14" i="32"/>
  <c r="D19" i="35"/>
  <c r="F19"/>
  <c r="F18" s="1"/>
  <c r="G18" s="1"/>
  <c r="G18" i="4"/>
  <c r="H12" i="10"/>
  <c r="K12"/>
  <c r="D23"/>
  <c r="G21" i="4"/>
  <c r="E39" i="31"/>
  <c r="F37" i="10"/>
  <c r="H138" i="9"/>
  <c r="G19" i="35"/>
  <c r="Z203" i="58"/>
  <c r="I43" i="31"/>
  <c r="I45" s="1"/>
  <c r="F23" i="10"/>
  <c r="G38" i="4"/>
  <c r="B22" i="2"/>
  <c r="Q16" i="5"/>
  <c r="H21" i="4"/>
  <c r="F38" i="10"/>
  <c r="B37" i="44"/>
  <c r="C37" s="1"/>
  <c r="E37" s="1"/>
  <c r="J19" i="5"/>
  <c r="N34" i="33"/>
  <c r="D193" i="16"/>
  <c r="D202" s="1"/>
  <c r="F31" i="5" s="1"/>
  <c r="C31" i="12"/>
  <c r="C39" s="1"/>
  <c r="H31"/>
  <c r="I31" s="1"/>
  <c r="E31"/>
  <c r="E39" s="1"/>
  <c r="E39" i="4" s="1"/>
  <c r="E128" i="12"/>
  <c r="E10"/>
  <c r="C128"/>
  <c r="G59"/>
  <c r="G60" s="1"/>
  <c r="H69" s="1"/>
  <c r="H94" i="9"/>
  <c r="D95" s="1"/>
  <c r="D94" s="1"/>
  <c r="U199" i="58"/>
  <c r="Z199"/>
  <c r="Z197"/>
  <c r="F60" i="10"/>
  <c r="Z173" i="58"/>
  <c r="X173"/>
  <c r="X21"/>
  <c r="E57" i="10"/>
  <c r="U225" i="58"/>
  <c r="Z224"/>
  <c r="U127"/>
  <c r="X129"/>
  <c r="H114" i="9"/>
  <c r="U156" i="58"/>
  <c r="Z156" s="1"/>
  <c r="H15" i="14"/>
  <c r="U209" i="58"/>
  <c r="Z209" s="1"/>
  <c r="Z221"/>
  <c r="U222"/>
  <c r="Z222" s="1"/>
  <c r="Z5"/>
  <c r="M42"/>
  <c r="Z114"/>
  <c r="U116"/>
  <c r="Z116" s="1"/>
  <c r="E33" i="6"/>
  <c r="G33" s="1"/>
  <c r="E37"/>
  <c r="U178" i="58"/>
  <c r="U185" s="1"/>
  <c r="M185"/>
  <c r="H12" i="14"/>
  <c r="H16" s="1"/>
  <c r="M219" i="58"/>
  <c r="K16" i="14" s="1"/>
  <c r="U34" i="58"/>
  <c r="Z34" s="1"/>
  <c r="Z33"/>
  <c r="X22"/>
  <c r="K20" i="9"/>
  <c r="D29" i="11"/>
  <c r="U189" i="58"/>
  <c r="K26" i="11" s="1"/>
  <c r="M174" i="58"/>
  <c r="M176" s="1"/>
  <c r="U169"/>
  <c r="Z169" s="1"/>
  <c r="M20"/>
  <c r="L27"/>
  <c r="L31" s="1"/>
  <c r="U22"/>
  <c r="D71" i="11"/>
  <c r="D74" s="1"/>
  <c r="C37" i="4" s="1"/>
  <c r="J10" i="30"/>
  <c r="V103" i="58"/>
  <c r="Z195"/>
  <c r="U154"/>
  <c r="Z154" s="1"/>
  <c r="X138"/>
  <c r="X142" s="1"/>
  <c r="X144" s="1"/>
  <c r="Y147"/>
  <c r="Z143" s="1"/>
  <c r="M81"/>
  <c r="M83" s="1"/>
  <c r="Z130"/>
  <c r="M206"/>
  <c r="Z208"/>
  <c r="Z120"/>
  <c r="U160"/>
  <c r="Z160" s="1"/>
  <c r="U140"/>
  <c r="U171"/>
  <c r="Z171" s="1"/>
  <c r="Q83"/>
  <c r="I42"/>
  <c r="U38"/>
  <c r="H12" i="9"/>
  <c r="H11" s="1"/>
  <c r="D12" s="1"/>
  <c r="D11" s="1"/>
  <c r="I44" i="58"/>
  <c r="Z140"/>
  <c r="D134" i="9"/>
  <c r="D135"/>
  <c r="F57" i="10"/>
  <c r="F58" s="1"/>
  <c r="Z22" i="58"/>
  <c r="Z189"/>
  <c r="M44"/>
  <c r="F81" i="55" s="1"/>
  <c r="D114" i="9"/>
  <c r="Y39" i="58"/>
  <c r="U42"/>
  <c r="X42" s="1"/>
  <c r="Z38"/>
  <c r="D60" i="10"/>
  <c r="D61" s="1"/>
  <c r="K21" i="9"/>
  <c r="K23" s="1"/>
  <c r="M27" i="58"/>
  <c r="U20"/>
  <c r="Z20" s="1"/>
  <c r="U36"/>
  <c r="Z36" s="1"/>
  <c r="Z178"/>
  <c r="Z127"/>
  <c r="Z225"/>
  <c r="X38"/>
  <c r="V22"/>
  <c r="M31"/>
  <c r="Z42"/>
  <c r="E12" i="4"/>
  <c r="N15" i="33"/>
  <c r="F36" i="10"/>
  <c r="N64" i="33"/>
  <c r="N63" s="1"/>
  <c r="B17" i="44"/>
  <c r="C17" s="1"/>
  <c r="E17" s="1"/>
  <c r="N23" i="33"/>
  <c r="L72"/>
  <c r="G41" i="4"/>
  <c r="H41"/>
  <c r="E38" i="10"/>
  <c r="H38" s="1"/>
  <c r="E11"/>
  <c r="H13"/>
  <c r="J58" i="33"/>
  <c r="N61"/>
  <c r="N58" s="1"/>
  <c r="D21" i="10"/>
  <c r="F61" i="5"/>
  <c r="D311" i="16"/>
  <c r="D61"/>
  <c r="F23" i="5" s="1"/>
  <c r="D121" i="16"/>
  <c r="D122" s="1"/>
  <c r="J20" i="5"/>
  <c r="Q20"/>
  <c r="D41" i="16"/>
  <c r="D45" s="1"/>
  <c r="L46"/>
  <c r="L48" s="1"/>
  <c r="L51" s="1"/>
  <c r="B7" i="2"/>
  <c r="Q15" i="5"/>
  <c r="N32" i="33"/>
  <c r="B28" i="2"/>
  <c r="D52" i="16"/>
  <c r="F22" i="5" s="1"/>
  <c r="D15" i="16"/>
  <c r="F10" i="5" s="1"/>
  <c r="D47" i="10"/>
  <c r="F77" i="35"/>
  <c r="O36" i="5"/>
  <c r="J30" i="33"/>
  <c r="N31"/>
  <c r="B56" i="35"/>
  <c r="B87" s="1"/>
  <c r="D57"/>
  <c r="Q19" i="5"/>
  <c r="H15" i="10"/>
  <c r="E52"/>
  <c r="E54" s="1"/>
  <c r="F21" i="30"/>
  <c r="F24" s="1"/>
  <c r="F22" i="10"/>
  <c r="F61" s="1"/>
  <c r="E23"/>
  <c r="L30" i="33"/>
  <c r="H20" i="9"/>
  <c r="H17" s="1"/>
  <c r="H125"/>
  <c r="K125" s="1"/>
  <c r="D186" i="16"/>
  <c r="F25" i="5" s="1"/>
  <c r="E10" i="4"/>
  <c r="F57" i="35"/>
  <c r="F56" s="1"/>
  <c r="D56"/>
  <c r="D87" s="1"/>
  <c r="E58" i="10"/>
  <c r="F12" i="5"/>
  <c r="F21" i="10" l="1"/>
  <c r="J13" i="30"/>
  <c r="H18" i="4"/>
  <c r="G34"/>
  <c r="H34"/>
  <c r="G32"/>
  <c r="H32"/>
  <c r="L20" i="30"/>
  <c r="I24"/>
  <c r="E50" i="10"/>
  <c r="H16"/>
  <c r="E22"/>
  <c r="J17"/>
  <c r="D24" i="34"/>
  <c r="E24" s="1"/>
  <c r="E9"/>
  <c r="D109" i="9"/>
  <c r="Z122" i="58"/>
  <c r="Z137"/>
  <c r="D118" i="9"/>
  <c r="D117"/>
  <c r="Z155" i="58"/>
  <c r="D123" i="9"/>
  <c r="Z163" i="58"/>
  <c r="M5" i="9"/>
  <c r="X9" i="58"/>
  <c r="Z18"/>
  <c r="U27"/>
  <c r="Q12" i="5"/>
  <c r="J12"/>
  <c r="H24" i="12"/>
  <c r="I12"/>
  <c r="I10"/>
  <c r="J9"/>
  <c r="J17" s="1"/>
  <c r="H11"/>
  <c r="H17" s="1"/>
  <c r="H8"/>
  <c r="H7" s="1"/>
  <c r="H5" s="1"/>
  <c r="I5" s="1"/>
  <c r="Z54" i="58"/>
  <c r="U81"/>
  <c r="Z133"/>
  <c r="D133" i="9"/>
  <c r="Z146" i="58"/>
  <c r="X134"/>
  <c r="D138" i="9" s="1"/>
  <c r="X172" i="58"/>
  <c r="U174"/>
  <c r="Z172"/>
  <c r="E60" i="10"/>
  <c r="Z213" i="58"/>
  <c r="D15" i="14"/>
  <c r="U219" i="58"/>
  <c r="H11" i="55"/>
  <c r="F14"/>
  <c r="B7" i="6" s="1"/>
  <c r="I38" i="12"/>
  <c r="N16" i="33"/>
  <c r="E21" i="10"/>
  <c r="E18" i="12"/>
  <c r="C39" i="4" s="1"/>
  <c r="N18" i="33"/>
  <c r="K64" i="16"/>
  <c r="K66" s="1"/>
  <c r="D21" i="9"/>
  <c r="D20" s="1"/>
  <c r="L106"/>
  <c r="F13" i="6"/>
  <c r="G13" s="1"/>
  <c r="H44" i="5"/>
  <c r="U44" i="58"/>
  <c r="F37" i="6" s="1"/>
  <c r="X20" i="58"/>
  <c r="D120" i="9"/>
  <c r="U191" i="58"/>
  <c r="H92" i="9"/>
  <c r="E22" i="4" s="1"/>
  <c r="S46" i="58"/>
  <c r="S48" s="1"/>
  <c r="S83" s="1"/>
  <c r="S229" s="1"/>
  <c r="S231" s="1"/>
  <c r="S233" s="1"/>
  <c r="U7"/>
  <c r="X139"/>
  <c r="X143" s="1"/>
  <c r="H68" i="12"/>
  <c r="U206" i="58"/>
  <c r="Z206" s="1"/>
  <c r="H140" i="9"/>
  <c r="Z201" i="58"/>
  <c r="K36" i="31"/>
  <c r="K40" s="1"/>
  <c r="L13" i="33"/>
  <c r="H27" i="5"/>
  <c r="U111" i="58"/>
  <c r="B36" i="31"/>
  <c r="F8"/>
  <c r="F36" s="1"/>
  <c r="M9" i="32"/>
  <c r="M8" s="1"/>
  <c r="M51"/>
  <c r="M50" s="1"/>
  <c r="F11" i="10"/>
  <c r="D59" i="32"/>
  <c r="C61" s="1"/>
  <c r="N72" i="33"/>
  <c r="B76"/>
  <c r="B78" s="1"/>
  <c r="F58"/>
  <c r="F76" s="1"/>
  <c r="F78" s="1"/>
  <c r="C87" i="35"/>
  <c r="E87"/>
  <c r="F23"/>
  <c r="G23" s="1"/>
  <c r="I61" i="31"/>
  <c r="I62" s="1"/>
  <c r="M20" i="32"/>
  <c r="M24" i="31"/>
  <c r="M21" s="1"/>
  <c r="X128" i="58"/>
  <c r="J17" i="11"/>
  <c r="N174" i="58"/>
  <c r="P83"/>
  <c r="N83"/>
  <c r="T118"/>
  <c r="T229" s="1"/>
  <c r="T231" s="1"/>
  <c r="T233" s="1"/>
  <c r="R118"/>
  <c r="P118"/>
  <c r="N118"/>
  <c r="I118"/>
  <c r="R167"/>
  <c r="R229" s="1"/>
  <c r="R231" s="1"/>
  <c r="R233" s="1"/>
  <c r="P167"/>
  <c r="P229" s="1"/>
  <c r="P231" s="1"/>
  <c r="P233" s="1"/>
  <c r="I167"/>
  <c r="I229" s="1"/>
  <c r="I231" s="1"/>
  <c r="I233" s="1"/>
  <c r="M17" i="32"/>
  <c r="M10" s="1"/>
  <c r="M59" s="1"/>
  <c r="F18" i="33"/>
  <c r="F13" s="1"/>
  <c r="H60" i="10"/>
  <c r="L229" i="58"/>
  <c r="L231" s="1"/>
  <c r="L233" s="1"/>
  <c r="D92" i="9"/>
  <c r="C22" i="4" s="1"/>
  <c r="G22" s="1"/>
  <c r="D63" i="32"/>
  <c r="U105" i="58"/>
  <c r="Q42"/>
  <c r="Q44" s="1"/>
  <c r="Q229" s="1"/>
  <c r="Q231" s="1"/>
  <c r="Q233" s="1"/>
  <c r="C21" i="10"/>
  <c r="D76" i="33"/>
  <c r="D78" s="1"/>
  <c r="M18" i="31"/>
  <c r="M8" s="1"/>
  <c r="M36" s="1"/>
  <c r="M40" s="1"/>
  <c r="B3" i="2"/>
  <c r="Q10" i="5"/>
  <c r="J10"/>
  <c r="D333" i="16"/>
  <c r="H37" i="4"/>
  <c r="L234" i="58"/>
  <c r="G39" i="4"/>
  <c r="D334" i="16"/>
  <c r="H39" i="4"/>
  <c r="B9" i="2"/>
  <c r="M18" i="5"/>
  <c r="J22"/>
  <c r="O5" i="9"/>
  <c r="H9"/>
  <c r="H8" s="1"/>
  <c r="L16" i="14"/>
  <c r="E40" i="4"/>
  <c r="Z185" i="58"/>
  <c r="D48" i="7"/>
  <c r="Z123" i="58"/>
  <c r="D112" i="9"/>
  <c r="X40" i="58"/>
  <c r="Z40"/>
  <c r="H229"/>
  <c r="H231" s="1"/>
  <c r="O229"/>
  <c r="O231" s="1"/>
  <c r="O233" s="1"/>
  <c r="H233"/>
  <c r="D85" i="14"/>
  <c r="E42" i="4"/>
  <c r="D47" i="7" s="1"/>
  <c r="G21" i="35"/>
  <c r="F20"/>
  <c r="U125" i="58"/>
  <c r="Z121"/>
  <c r="D111" i="9"/>
  <c r="D124"/>
  <c r="Z142" i="58"/>
  <c r="Z23"/>
  <c r="C37" i="6"/>
  <c r="B4" i="2"/>
  <c r="D68" i="16"/>
  <c r="H23" i="10"/>
  <c r="E23" i="4"/>
  <c r="N30" i="33"/>
  <c r="Y44" i="58"/>
  <c r="Z44" s="1"/>
  <c r="M229"/>
  <c r="X19"/>
  <c r="D57" i="10"/>
  <c r="U165" i="58"/>
  <c r="X145" s="1"/>
  <c r="D14" i="14"/>
  <c r="D16" s="1"/>
  <c r="Z202" i="58"/>
  <c r="H37" i="10"/>
  <c r="H36" s="1"/>
  <c r="E31" i="4" s="1"/>
  <c r="J229" i="58"/>
  <c r="J231" s="1"/>
  <c r="K100" i="9"/>
  <c r="E35" i="6"/>
  <c r="K102" i="9"/>
  <c r="D27" i="35"/>
  <c r="E40"/>
  <c r="F43"/>
  <c r="C10" i="4"/>
  <c r="H10" s="1"/>
  <c r="R18" i="5"/>
  <c r="J18"/>
  <c r="F37"/>
  <c r="D17" i="7"/>
  <c r="H21" i="10"/>
  <c r="C31" i="4" s="1"/>
  <c r="N20" i="33"/>
  <c r="D140" i="9"/>
  <c r="H17" i="10"/>
  <c r="J63" i="33"/>
  <c r="J13"/>
  <c r="D28" i="9"/>
  <c r="C12" i="4" s="1"/>
  <c r="H12" s="1"/>
  <c r="F53" i="55"/>
  <c r="F66" s="1"/>
  <c r="H67" s="1"/>
  <c r="H69" s="1"/>
  <c r="F87" i="35"/>
  <c r="G87" s="1"/>
  <c r="R44" i="5"/>
  <c r="Q44"/>
  <c r="Q46" s="1"/>
  <c r="C38" i="6"/>
  <c r="H26" i="11"/>
  <c r="D248" i="16"/>
  <c r="B34" i="34" s="1"/>
  <c r="Q25" i="5"/>
  <c r="B12" i="2"/>
  <c r="K21" i="10"/>
  <c r="M19" i="5"/>
  <c r="Q23"/>
  <c r="B13" i="44"/>
  <c r="B10" i="2"/>
  <c r="M21" i="5"/>
  <c r="C24" i="4"/>
  <c r="B21" i="2"/>
  <c r="B29" i="44"/>
  <c r="J14" i="10"/>
  <c r="J25" s="1"/>
  <c r="J19"/>
  <c r="F71" i="55"/>
  <c r="F8" i="6" s="1"/>
  <c r="F11" s="1"/>
  <c r="Q13" i="5"/>
  <c r="B19" i="44"/>
  <c r="B5" i="2"/>
  <c r="J13" i="5"/>
  <c r="J21" i="30"/>
  <c r="F72" i="55"/>
  <c r="G37" i="4"/>
  <c r="E24"/>
  <c r="H145" i="9"/>
  <c r="H147" s="1"/>
  <c r="P27" i="5"/>
  <c r="B7" i="44"/>
  <c r="C7" s="1"/>
  <c r="E7" s="1"/>
  <c r="H46" i="5"/>
  <c r="F47" i="10"/>
  <c r="H11"/>
  <c r="F41" i="35"/>
  <c r="F40" s="1"/>
  <c r="D40"/>
  <c r="D16" i="7"/>
  <c r="F17" i="5"/>
  <c r="F27" s="1"/>
  <c r="D173" i="16"/>
  <c r="D27" i="11"/>
  <c r="D26" s="1"/>
  <c r="H31"/>
  <c r="E33" i="4" s="1"/>
  <c r="D326" i="16"/>
  <c r="B24" i="2"/>
  <c r="E20" i="4"/>
  <c r="H22"/>
  <c r="J314" i="16" s="1"/>
  <c r="J315" s="1"/>
  <c r="L76" i="33"/>
  <c r="L78" s="1"/>
  <c r="B10" i="44"/>
  <c r="C10" s="1"/>
  <c r="E10" s="1"/>
  <c r="Q22" i="5"/>
  <c r="B22" i="44"/>
  <c r="E36" i="10"/>
  <c r="E47" s="1"/>
  <c r="N14" i="33"/>
  <c r="N13" s="1"/>
  <c r="N28"/>
  <c r="N26" s="1"/>
  <c r="Q14" i="5"/>
  <c r="D51" i="7" l="1"/>
  <c r="U107" i="58"/>
  <c r="Z105"/>
  <c r="Y176"/>
  <c r="N176"/>
  <c r="Z111"/>
  <c r="U118"/>
  <c r="Z118" s="1"/>
  <c r="Z7"/>
  <c r="U12"/>
  <c r="Z12" s="1"/>
  <c r="U193"/>
  <c r="Z193" s="1"/>
  <c r="Z191"/>
  <c r="P48" i="5"/>
  <c r="B26" i="44"/>
  <c r="C26" s="1"/>
  <c r="E26" s="1"/>
  <c r="Z174" i="58"/>
  <c r="U176"/>
  <c r="Z176" s="1"/>
  <c r="Z81"/>
  <c r="U83"/>
  <c r="Z83" s="1"/>
  <c r="M17" i="9"/>
  <c r="M26" s="1"/>
  <c r="M27" s="1"/>
  <c r="N5"/>
  <c r="N17" s="1"/>
  <c r="E61" i="10"/>
  <c r="H22"/>
  <c r="L235" i="58"/>
  <c r="B40" i="31"/>
  <c r="B42"/>
  <c r="B8" i="6"/>
  <c r="B11" s="1"/>
  <c r="G7"/>
  <c r="Z219" i="58"/>
  <c r="K18" i="14"/>
  <c r="Z27" i="58"/>
  <c r="U31"/>
  <c r="Z31" s="1"/>
  <c r="F32" i="5"/>
  <c r="B27" i="2" s="1"/>
  <c r="P49" i="5"/>
  <c r="I17" i="12"/>
  <c r="C40" i="4"/>
  <c r="L18" i="14"/>
  <c r="G20" i="35"/>
  <c r="F27"/>
  <c r="G27" s="1"/>
  <c r="O17" i="9"/>
  <c r="P5"/>
  <c r="U167" i="58"/>
  <c r="Z165"/>
  <c r="D58" i="10"/>
  <c r="H57"/>
  <c r="M231" i="58"/>
  <c r="M234"/>
  <c r="Z125"/>
  <c r="H7" i="9"/>
  <c r="D9"/>
  <c r="D8" s="1"/>
  <c r="D7" s="1"/>
  <c r="C11" i="4" s="1"/>
  <c r="H42"/>
  <c r="G42"/>
  <c r="J66" i="55"/>
  <c r="M20" i="5"/>
  <c r="E36" i="4"/>
  <c r="J76" i="33"/>
  <c r="J78" s="1"/>
  <c r="J83" s="1"/>
  <c r="H58" i="10"/>
  <c r="D125" i="9"/>
  <c r="D335" i="16"/>
  <c r="N76" i="33"/>
  <c r="N78" s="1"/>
  <c r="D47" i="9" s="1"/>
  <c r="Q27" i="5"/>
  <c r="D17" i="9"/>
  <c r="B47" i="34"/>
  <c r="B48" s="1"/>
  <c r="D34"/>
  <c r="L21" i="30"/>
  <c r="J24"/>
  <c r="F44" i="5"/>
  <c r="B29" i="2"/>
  <c r="E30" i="4"/>
  <c r="E44" s="1"/>
  <c r="G8" i="6"/>
  <c r="G11" s="1"/>
  <c r="B6" i="44"/>
  <c r="K656" i="59"/>
  <c r="K657" s="1"/>
  <c r="F46" i="5"/>
  <c r="O28"/>
  <c r="K27"/>
  <c r="P26"/>
  <c r="B15" i="2"/>
  <c r="D31" i="11"/>
  <c r="C33" i="4" s="1"/>
  <c r="K27" i="11"/>
  <c r="D324" i="16"/>
  <c r="R17" i="5"/>
  <c r="R27" s="1"/>
  <c r="B8" i="2"/>
  <c r="B13" s="1"/>
  <c r="J17" i="5"/>
  <c r="O17"/>
  <c r="J39" i="10"/>
  <c r="J45" s="1"/>
  <c r="J26"/>
  <c r="K11"/>
  <c r="F12" i="6"/>
  <c r="G12" s="1"/>
  <c r="Q48" i="5"/>
  <c r="H49"/>
  <c r="H47" i="9" s="1"/>
  <c r="H54" s="1"/>
  <c r="H72" i="55"/>
  <c r="H64"/>
  <c r="C29" i="44"/>
  <c r="E29" s="1"/>
  <c r="G24" i="4"/>
  <c r="H24"/>
  <c r="C13" i="44"/>
  <c r="E13" s="1"/>
  <c r="B15"/>
  <c r="C15" s="1"/>
  <c r="E15" s="1"/>
  <c r="H31" i="4"/>
  <c r="G31"/>
  <c r="C30"/>
  <c r="G30" s="1"/>
  <c r="J36" i="10"/>
  <c r="M22" i="5"/>
  <c r="Z107" i="58" l="1"/>
  <c r="D61" i="9"/>
  <c r="D63" s="1"/>
  <c r="D66" s="1"/>
  <c r="C17" i="4" s="1"/>
  <c r="K22" i="10"/>
  <c r="H61"/>
  <c r="R186" i="58"/>
  <c r="N229"/>
  <c r="N231" s="1"/>
  <c r="N233" s="1"/>
  <c r="C23" i="4"/>
  <c r="D145" i="9"/>
  <c r="D147" s="1"/>
  <c r="K12"/>
  <c r="E11" i="4"/>
  <c r="M235" i="58"/>
  <c r="Y37" s="1"/>
  <c r="Z37" s="1"/>
  <c r="M233"/>
  <c r="Z167"/>
  <c r="U229"/>
  <c r="G40" i="4"/>
  <c r="C36"/>
  <c r="C44" s="1"/>
  <c r="G44" s="1"/>
  <c r="H40"/>
  <c r="K134" i="9"/>
  <c r="D46"/>
  <c r="D54" s="1"/>
  <c r="C14" i="4" s="1"/>
  <c r="E14"/>
  <c r="D31" i="2"/>
  <c r="B14"/>
  <c r="L324" i="16"/>
  <c r="G33" i="4"/>
  <c r="H33"/>
  <c r="F20" i="6"/>
  <c r="F25" s="1"/>
  <c r="F49" i="5"/>
  <c r="F26" i="6"/>
  <c r="G26" s="1"/>
  <c r="B8" i="44"/>
  <c r="C8" s="1"/>
  <c r="B20"/>
  <c r="C19" s="1"/>
  <c r="C6"/>
  <c r="E6" s="1"/>
  <c r="B23"/>
  <c r="C22" s="1"/>
  <c r="D12" i="7"/>
  <c r="B25" i="44"/>
  <c r="B31" i="2"/>
  <c r="B30" s="1"/>
  <c r="P51" i="5"/>
  <c r="P52" s="1"/>
  <c r="L81" i="33"/>
  <c r="L83" s="1"/>
  <c r="E34" i="34"/>
  <c r="D47"/>
  <c r="F35" i="6" l="1"/>
  <c r="F38" s="1"/>
  <c r="F75" i="55" s="1"/>
  <c r="F78" s="1"/>
  <c r="D32" i="7"/>
  <c r="D41" s="1"/>
  <c r="G17" i="4"/>
  <c r="H17"/>
  <c r="C16"/>
  <c r="G16" s="1"/>
  <c r="D336" i="16"/>
  <c r="D11" i="7" s="1"/>
  <c r="H23" i="4"/>
  <c r="G23"/>
  <c r="C20"/>
  <c r="G36"/>
  <c r="H36"/>
  <c r="U231" i="58"/>
  <c r="Z229"/>
  <c r="B18" i="6"/>
  <c r="H11" i="4"/>
  <c r="D48" i="34"/>
  <c r="E48" s="1"/>
  <c r="E47"/>
  <c r="B34" i="44"/>
  <c r="C25"/>
  <c r="E25" s="1"/>
  <c r="B27"/>
  <c r="C27" s="1"/>
  <c r="B30"/>
  <c r="B38"/>
  <c r="H14" i="4"/>
  <c r="C9"/>
  <c r="B3" i="44"/>
  <c r="C3" s="1"/>
  <c r="E3" s="1"/>
  <c r="D309" i="16"/>
  <c r="D332" s="1"/>
  <c r="J656" i="59"/>
  <c r="J657" s="1"/>
  <c r="E31" i="2"/>
  <c r="E32" s="1"/>
  <c r="B50" i="34"/>
  <c r="H16" i="6"/>
  <c r="H17" s="1"/>
  <c r="E9" i="4"/>
  <c r="D14" i="7"/>
  <c r="B28" i="6" l="1"/>
  <c r="G28" s="1"/>
  <c r="G18"/>
  <c r="G20" s="1"/>
  <c r="B20"/>
  <c r="B25" s="1"/>
  <c r="B35" s="1"/>
  <c r="Z231" i="58"/>
  <c r="U233"/>
  <c r="Z233" s="1"/>
  <c r="G20" i="4"/>
  <c r="H20"/>
  <c r="J338" i="16"/>
  <c r="D19" i="7"/>
  <c r="D45" s="1"/>
  <c r="J341" i="16"/>
  <c r="J332"/>
  <c r="K331" s="1"/>
  <c r="J337"/>
  <c r="D340"/>
  <c r="J339" s="1"/>
  <c r="K330"/>
  <c r="G37" i="6"/>
  <c r="C27" i="4"/>
  <c r="C38" i="44"/>
  <c r="E38" s="1"/>
  <c r="B39"/>
  <c r="C34"/>
  <c r="E34" s="1"/>
  <c r="B35"/>
  <c r="H20" i="6"/>
  <c r="E27" i="4"/>
  <c r="H50" i="34"/>
  <c r="H52" s="1"/>
  <c r="B52"/>
  <c r="C30" i="44"/>
  <c r="E30" s="1"/>
  <c r="B31"/>
  <c r="G25" i="6" l="1"/>
  <c r="G35" s="1"/>
  <c r="G38" s="1"/>
  <c r="H21"/>
  <c r="H22" s="1"/>
  <c r="K332" i="16"/>
  <c r="M332" s="1"/>
  <c r="M334" s="1"/>
  <c r="C48" i="4"/>
  <c r="G27"/>
  <c r="I13" i="7"/>
  <c r="J13" s="1"/>
  <c r="J342" i="16"/>
</calcChain>
</file>

<file path=xl/comments1.xml><?xml version="1.0" encoding="utf-8"?>
<comments xmlns="http://schemas.openxmlformats.org/spreadsheetml/2006/main">
  <authors>
    <author>Tershia</author>
  </authors>
  <commentList>
    <comment ref="N38" authorId="0">
      <text>
        <r>
          <rPr>
            <b/>
            <sz val="9"/>
            <color indexed="81"/>
            <rFont val="Tahoma"/>
            <family val="2"/>
          </rPr>
          <t>Tershia:</t>
        </r>
        <r>
          <rPr>
            <sz val="9"/>
            <color indexed="81"/>
            <rFont val="Tahoma"/>
            <family val="2"/>
          </rPr>
          <t xml:space="preserve">
R199736.70 the difference in investment in Zelpy and Zelpy's nett assets</t>
        </r>
      </text>
    </comment>
  </commentList>
</comments>
</file>

<file path=xl/comments2.xml><?xml version="1.0" encoding="utf-8"?>
<comments xmlns="http://schemas.openxmlformats.org/spreadsheetml/2006/main">
  <authors>
    <author>Heila Welgemoed</author>
  </authors>
  <commentList>
    <comment ref="F16" authorId="0">
      <text>
        <r>
          <rPr>
            <b/>
            <sz val="9"/>
            <color indexed="81"/>
            <rFont val="Tahoma"/>
            <family val="2"/>
          </rPr>
          <t>Heila Welgemoed:</t>
        </r>
        <r>
          <rPr>
            <sz val="9"/>
            <color indexed="81"/>
            <rFont val="Tahoma"/>
            <family val="2"/>
          </rPr>
          <t xml:space="preserve">
Not from Note: INSERT AMOUNT
</t>
        </r>
      </text>
    </comment>
    <comment ref="F19" authorId="0">
      <text>
        <r>
          <rPr>
            <b/>
            <sz val="9"/>
            <color indexed="81"/>
            <rFont val="Tahoma"/>
            <family val="2"/>
          </rPr>
          <t>Heila Welgemoed:</t>
        </r>
        <r>
          <rPr>
            <sz val="9"/>
            <color indexed="81"/>
            <rFont val="Tahoma"/>
            <family val="2"/>
          </rPr>
          <t xml:space="preserve">
Not from Note: INSERT AMOUNT
</t>
        </r>
      </text>
    </comment>
    <comment ref="F20" authorId="0">
      <text>
        <r>
          <rPr>
            <b/>
            <sz val="9"/>
            <color indexed="81"/>
            <rFont val="Tahoma"/>
            <family val="2"/>
          </rPr>
          <t>Heila Welgemoed:</t>
        </r>
        <r>
          <rPr>
            <sz val="9"/>
            <color indexed="81"/>
            <rFont val="Tahoma"/>
            <family val="2"/>
          </rPr>
          <t xml:space="preserve">
Not from Note: INSERT AMOUNT
</t>
        </r>
      </text>
    </comment>
    <comment ref="F21" authorId="0">
      <text>
        <r>
          <rPr>
            <b/>
            <sz val="9"/>
            <color indexed="81"/>
            <rFont val="Tahoma"/>
            <family val="2"/>
          </rPr>
          <t>Heila Welgemoed:</t>
        </r>
        <r>
          <rPr>
            <sz val="9"/>
            <color indexed="81"/>
            <rFont val="Tahoma"/>
            <family val="2"/>
          </rPr>
          <t xml:space="preserve">
Not from Note: INSERT AMOUNT
</t>
        </r>
      </text>
    </comment>
    <comment ref="F26" authorId="0">
      <text>
        <r>
          <rPr>
            <b/>
            <sz val="9"/>
            <color indexed="81"/>
            <rFont val="Tahoma"/>
            <family val="2"/>
          </rPr>
          <t>Heila Welgemoed:</t>
        </r>
        <r>
          <rPr>
            <sz val="9"/>
            <color indexed="81"/>
            <rFont val="Tahoma"/>
            <family val="2"/>
          </rPr>
          <t xml:space="preserve">
Not from Note: INSERT AMOUNT
</t>
        </r>
      </text>
    </comment>
    <comment ref="F33" authorId="0">
      <text>
        <r>
          <rPr>
            <b/>
            <sz val="9"/>
            <color indexed="81"/>
            <rFont val="Tahoma"/>
            <family val="2"/>
          </rPr>
          <t>Heila Welgemoed:</t>
        </r>
        <r>
          <rPr>
            <sz val="9"/>
            <color indexed="81"/>
            <rFont val="Tahoma"/>
            <family val="2"/>
          </rPr>
          <t xml:space="preserve">
Not from Note: INSERT AMOUNT
</t>
        </r>
      </text>
    </comment>
    <comment ref="F34" authorId="0">
      <text>
        <r>
          <rPr>
            <b/>
            <sz val="9"/>
            <color indexed="81"/>
            <rFont val="Tahoma"/>
            <family val="2"/>
          </rPr>
          <t>Heila Welgemoed:</t>
        </r>
        <r>
          <rPr>
            <sz val="9"/>
            <color indexed="81"/>
            <rFont val="Tahoma"/>
            <family val="2"/>
          </rPr>
          <t xml:space="preserve">
Not from Note: INSERT AMOUNT
</t>
        </r>
      </text>
    </comment>
    <comment ref="F35" authorId="0">
      <text>
        <r>
          <rPr>
            <b/>
            <sz val="9"/>
            <color indexed="81"/>
            <rFont val="Tahoma"/>
            <family val="2"/>
          </rPr>
          <t>Heila Welgemoed:</t>
        </r>
        <r>
          <rPr>
            <sz val="9"/>
            <color indexed="81"/>
            <rFont val="Tahoma"/>
            <family val="2"/>
          </rPr>
          <t xml:space="preserve">
Not from Note: INSERT AMOUNT
</t>
        </r>
      </text>
    </comment>
    <comment ref="F36" authorId="0">
      <text>
        <r>
          <rPr>
            <b/>
            <sz val="9"/>
            <color indexed="81"/>
            <rFont val="Tahoma"/>
            <family val="2"/>
          </rPr>
          <t>Heila Welgemoed:</t>
        </r>
        <r>
          <rPr>
            <sz val="9"/>
            <color indexed="81"/>
            <rFont val="Tahoma"/>
            <family val="2"/>
          </rPr>
          <t xml:space="preserve">
Not from Note: INSERT AMOUNT
</t>
        </r>
      </text>
    </comment>
    <comment ref="F41" authorId="0">
      <text>
        <r>
          <rPr>
            <b/>
            <sz val="9"/>
            <color indexed="81"/>
            <rFont val="Tahoma"/>
            <family val="2"/>
          </rPr>
          <t>Heila Welgemoed:</t>
        </r>
        <r>
          <rPr>
            <sz val="9"/>
            <color indexed="81"/>
            <rFont val="Tahoma"/>
            <family val="2"/>
          </rPr>
          <t xml:space="preserve">
Not from Note: INSERT AMOUNT
</t>
        </r>
      </text>
    </comment>
    <comment ref="F42" authorId="0">
      <text>
        <r>
          <rPr>
            <b/>
            <sz val="9"/>
            <color indexed="81"/>
            <rFont val="Tahoma"/>
            <family val="2"/>
          </rPr>
          <t>Heila Welgemoed:</t>
        </r>
        <r>
          <rPr>
            <sz val="9"/>
            <color indexed="81"/>
            <rFont val="Tahoma"/>
            <family val="2"/>
          </rPr>
          <t xml:space="preserve">
Not from Note: INSERT AMOUNT
</t>
        </r>
      </text>
    </comment>
    <comment ref="F43" authorId="0">
      <text>
        <r>
          <rPr>
            <b/>
            <sz val="9"/>
            <color indexed="81"/>
            <rFont val="Tahoma"/>
            <family val="2"/>
          </rPr>
          <t>Heila Welgemoed:</t>
        </r>
        <r>
          <rPr>
            <sz val="9"/>
            <color indexed="81"/>
            <rFont val="Tahoma"/>
            <family val="2"/>
          </rPr>
          <t xml:space="preserve">
Not from Note: INSERT AMOUNT
</t>
        </r>
      </text>
    </comment>
  </commentList>
</comments>
</file>

<file path=xl/comments3.xml><?xml version="1.0" encoding="utf-8"?>
<comments xmlns="http://schemas.openxmlformats.org/spreadsheetml/2006/main">
  <authors>
    <author>Tershia</author>
    <author>Fanie</author>
    <author>Heila</author>
  </authors>
  <commentList>
    <comment ref="H9" authorId="0">
      <text>
        <r>
          <rPr>
            <b/>
            <sz val="9"/>
            <color indexed="81"/>
            <rFont val="Tahoma"/>
            <family val="2"/>
          </rPr>
          <t>Tershia:</t>
        </r>
        <r>
          <rPr>
            <sz val="9"/>
            <color indexed="81"/>
            <rFont val="Tahoma"/>
            <family val="2"/>
          </rPr>
          <t xml:space="preserve">
capital development fund 3871632.78 plus Land trust fund 5430147.82 plus Town Development and outlay 3871632.78
</t>
        </r>
      </text>
    </comment>
    <comment ref="D48" authorId="1">
      <text>
        <r>
          <rPr>
            <b/>
            <sz val="9"/>
            <color indexed="81"/>
            <rFont val="Tahoma"/>
            <family val="2"/>
          </rPr>
          <t>R10,889,273 were inclusive of contributions on line D48 - taken out to show seperately on line d47</t>
        </r>
      </text>
    </comment>
    <comment ref="D53" authorId="0">
      <text>
        <r>
          <rPr>
            <b/>
            <sz val="9"/>
            <color indexed="81"/>
            <rFont val="Tahoma"/>
            <family val="2"/>
          </rPr>
          <t>Tershia:</t>
        </r>
        <r>
          <rPr>
            <sz val="9"/>
            <color indexed="81"/>
            <rFont val="Tahoma"/>
            <family val="2"/>
          </rPr>
          <t xml:space="preserve">
Part of investment in Zelpy that exceeded the nett asset value of 07/08</t>
        </r>
      </text>
    </comment>
    <comment ref="B92" authorId="2">
      <text>
        <r>
          <rPr>
            <b/>
            <sz val="9"/>
            <color indexed="81"/>
            <rFont val="Tahoma"/>
            <family val="2"/>
          </rPr>
          <t>Heila:</t>
        </r>
        <r>
          <rPr>
            <sz val="9"/>
            <color indexed="81"/>
            <rFont val="Tahoma"/>
            <family val="2"/>
          </rPr>
          <t xml:space="preserve">
Include landfill and leave provision
</t>
        </r>
      </text>
    </comment>
  </commentList>
</comments>
</file>

<file path=xl/comments4.xml><?xml version="1.0" encoding="utf-8"?>
<comments xmlns="http://schemas.openxmlformats.org/spreadsheetml/2006/main">
  <authors>
    <author>Heila</author>
  </authors>
  <commentList>
    <comment ref="B34" authorId="0">
      <text>
        <r>
          <rPr>
            <b/>
            <sz val="9"/>
            <color indexed="81"/>
            <rFont val="Tahoma"/>
            <family val="2"/>
          </rPr>
          <t>Heila:</t>
        </r>
        <r>
          <rPr>
            <sz val="9"/>
            <color indexed="81"/>
            <rFont val="Tahoma"/>
            <family val="2"/>
          </rPr>
          <t xml:space="preserve">
not a formula - remember to type</t>
        </r>
      </text>
    </comment>
    <comment ref="B64" authorId="0">
      <text>
        <r>
          <rPr>
            <b/>
            <sz val="9"/>
            <color indexed="81"/>
            <rFont val="Tahoma"/>
            <family val="2"/>
          </rPr>
          <t>Heila:</t>
        </r>
        <r>
          <rPr>
            <sz val="9"/>
            <color indexed="81"/>
            <rFont val="Tahoma"/>
            <family val="2"/>
          </rPr>
          <t xml:space="preserve">
Insert a note when the loans will be fully redeemed</t>
        </r>
      </text>
    </comment>
  </commentList>
</comments>
</file>

<file path=xl/comments5.xml><?xml version="1.0" encoding="utf-8"?>
<comments xmlns="http://schemas.openxmlformats.org/spreadsheetml/2006/main">
  <authors>
    <author>Fanie</author>
    <author>Heila</author>
  </authors>
  <commentList>
    <comment ref="D120" authorId="0">
      <text>
        <r>
          <rPr>
            <sz val="9"/>
            <color indexed="81"/>
            <rFont val="Tahoma"/>
            <family val="2"/>
          </rPr>
          <t>MIG Grant for Cemetery Vhembe R1,000,000</t>
        </r>
      </text>
    </comment>
    <comment ref="B257" authorId="1">
      <text>
        <r>
          <rPr>
            <b/>
            <sz val="9"/>
            <color indexed="81"/>
            <rFont val="Tahoma"/>
            <family val="2"/>
          </rPr>
          <t>Heila:</t>
        </r>
        <r>
          <rPr>
            <sz val="9"/>
            <color indexed="81"/>
            <rFont val="Tahoma"/>
            <family val="2"/>
          </rPr>
          <t xml:space="preserve">
Separate different classes. i.e. leases, etc</t>
        </r>
      </text>
    </comment>
    <comment ref="P314" authorId="0">
      <text>
        <r>
          <rPr>
            <b/>
            <sz val="9"/>
            <color indexed="81"/>
            <rFont val="Tahoma"/>
            <family val="2"/>
          </rPr>
          <t xml:space="preserve">See TB 0607
</t>
        </r>
      </text>
    </comment>
  </commentList>
</comments>
</file>

<file path=xl/comments6.xml><?xml version="1.0" encoding="utf-8"?>
<comments xmlns="http://schemas.openxmlformats.org/spreadsheetml/2006/main">
  <authors>
    <author>Fanie</author>
  </authors>
  <commentList>
    <comment ref="F13" authorId="0">
      <text>
        <r>
          <rPr>
            <sz val="9"/>
            <color indexed="81"/>
            <rFont val="Tahoma"/>
            <family val="2"/>
          </rPr>
          <t>R6,237,984.06 is Loans Redeemed &amp; other capital receipts 0607</t>
        </r>
      </text>
    </comment>
  </commentList>
</comments>
</file>

<file path=xl/comments7.xml><?xml version="1.0" encoding="utf-8"?>
<comments xmlns="http://schemas.openxmlformats.org/spreadsheetml/2006/main">
  <authors>
    <author>Heila Welgemoed</author>
  </authors>
  <commentList>
    <comment ref="B11" authorId="0">
      <text>
        <r>
          <rPr>
            <b/>
            <sz val="8"/>
            <color indexed="81"/>
            <rFont val="Tahoma"/>
            <family val="2"/>
          </rPr>
          <t>Heila Welgemoed:</t>
        </r>
        <r>
          <rPr>
            <sz val="8"/>
            <color indexed="81"/>
            <rFont val="Tahoma"/>
            <family val="2"/>
          </rPr>
          <t xml:space="preserve">
Please check formula</t>
        </r>
      </text>
    </comment>
    <comment ref="B12" authorId="0">
      <text>
        <r>
          <rPr>
            <b/>
            <sz val="8"/>
            <color indexed="81"/>
            <rFont val="Tahoma"/>
            <family val="2"/>
          </rPr>
          <t>Heila Welgemoed:</t>
        </r>
        <r>
          <rPr>
            <sz val="8"/>
            <color indexed="81"/>
            <rFont val="Tahoma"/>
            <family val="2"/>
          </rPr>
          <t xml:space="preserve">
Please check formula</t>
        </r>
      </text>
    </comment>
  </commentList>
</comments>
</file>

<file path=xl/connections.xml><?xml version="1.0" encoding="utf-8"?>
<connections xmlns="http://schemas.openxmlformats.org/spreadsheetml/2006/main">
  <connection id="1" name="Connection" type="1" refreshedVersion="2" background="1" saveData="1">
    <dbPr connection="DSN=ProMIS;UID=;;SVOPT=-d dmy;DATABASE=" command="SELECT MEESTER_0.boekjaar, MEESTER_0.groep, MEESTER_0.seksie, MEESTER_0.acc-no, MEESTER_0.beginsaldo, MEESTER_0.eindsaldo, MEESTER_0.dt-kt-ind, MEESTER_0.l1-no_x000d__x000a_FROM pro1.MEESTER MEESTER_0_x000d__x000a_WHERE (MEESTER_0.boekjaar=05) AND (MEESTER_0.acc-no&gt;'0')_x000d__x000a_ORDER BY MEESTER_0.groep, MEESTER_0.seksie, MEESTER_0.acc-no"/>
  </connection>
  <connection id="2" name="Connection1" type="1" refreshedVersion="2" background="1" saveData="1">
    <dbPr connection="DSN=ProMIS;UID=;;SVOPT=-d dmy;DATABASE=" command="SELECT POSTE_0.boekjaar, POSTE_0.dep-no, POSTE_0.ite-no, POSTE_0.pos-no, POSTE_0.per13-tot, BUDPOS_0.original, DEPDESC_0.dep-desc, ITEMDESC_0.ite-desc, POSDESC_0.pos-desc_x000d__x000a_FROM pro1.BUDPOS BUDPOS_0, pro1.DEPDESC DEPDESC_0, pro1.ITEMDESC ITEMDESC_0, pro1.POSDESC POSDESC_0, pro1.POSTE POSTE_0_x000d__x000a_WHERE BUDPOS_0.boekjaar = POSTE_0.boekjaar AND BUDPOS_0.bookyear = POSTE_0.bookyear AND BUDPOS_0.metro = POSTE_0.metro AND BUDPOS_0.dep-no = POSTE_0.dep-no AND BUDPOS_0.ite-no = POSTE_0.ite-no AND BUDPOS_0.pos-no = POSTE_0.pos-no AND DEPDESC_0.dep-no = BUDPOS_0.dep-no AND DEPDESC_0.dep-no = POSTE_0.dep-no AND ITEMDESC_0.ite-no = BUDPOS_0.ite-no AND ITEMDESC_0.ite-no = POSTE_0.ite-no AND POSDESC_0.dep-no = BUDPOS_0.dep-no AND POSDESC_0.dep-no = DEPDESC_0.dep-no AND POSDESC_0.dep-no = POSTE_0.dep-no AND POSDESC_0.ite-no = BUDPOS_0.ite-no AND POSDESC_0.ite-no = ITEMDESC_0.ite-no AND POSDESC_0.ite-no = POSTE_0.ite-no AND POSDESC_0.metro = BUDPOS_0.metro AND POSDESC_0.metro = POSTE_0.metro AND POSDESC_0.pos-no = BUDPOS_0.pos-no AND POSDESC_0.pos-no = POSTE_0.pos-no AND ((POSTE_0.boekjaar=05))_x000d__x000a_ORDER BY POSTE_0.dep-no, POSTE_0.ite-no, POSTE_0.pos-no"/>
  </connection>
  <connection id="3" name="Connection2" type="1" refreshedVersion="2" background="1" saveData="1">
    <dbPr connection="DSN=ProMIS;UID=;;SVOPT=-d dmy;DATABASE=" command="SELECT POSTE_0.boekjaar, POSTE_0.dep-no, POSTE_0.ite-no, POSTE_0.pos-no, POSTE_0.per13-tot, BUDPOS_0.original, DEPDESC_0.dep-desc, ITEMDESC_0.ite-desc, POSDESC_0.pos-desc_x000d__x000a_FROM pro1.BUDPOS BUDPOS_0, pro1.DEPDESC DEPDESC_0, pro1.ITEMDESC ITEMDESC_0, pro1.POSDESC POSDESC_0, pro1.POSTE POSTE_0_x000d__x000a_WHERE BUDPOS_0.boekjaar = POSTE_0.boekjaar AND BUDPOS_0.bookyear = POSTE_0.bookyear AND BUDPOS_0.metro = POSTE_0.metro AND BUDPOS_0.dep-no = POSTE_0.dep-no AND BUDPOS_0.ite-no = POSTE_0.ite-no AND BUDPOS_0.pos-no = POSTE_0.pos-no AND DEPDESC_0.dep-no = BUDPOS_0.dep-no AND DEPDESC_0.dep-no = POSTE_0.dep-no AND ITEMDESC_0.ite-no = BUDPOS_0.ite-no AND ITEMDESC_0.ite-no = POSTE_0.ite-no AND POSDESC_0.dep-no = BUDPOS_0.dep-no AND POSDESC_0.dep-no = DEPDESC_0.dep-no AND POSDESC_0.dep-no = POSTE_0.dep-no AND POSDESC_0.ite-no = BUDPOS_0.ite-no AND POSDESC_0.ite-no = ITEMDESC_0.ite-no AND POSDESC_0.ite-no = POSTE_0.ite-no AND POSDESC_0.metro = BUDPOS_0.metro AND POSDESC_0.metro = POSTE_0.metro AND POSDESC_0.pos-no = BUDPOS_0.pos-no AND POSDESC_0.pos-no = POSTE_0.pos-no AND ((POSTE_0.boekjaar=05))_x000d__x000a_ORDER BY POSTE_0.dep-no, POSTE_0.ite-no, POSTE_0.pos-no"/>
  </connection>
</connections>
</file>

<file path=xl/sharedStrings.xml><?xml version="1.0" encoding="utf-8"?>
<sst xmlns="http://schemas.openxmlformats.org/spreadsheetml/2006/main" count="9801" uniqueCount="3710">
  <si>
    <t>21  Irwin  Street</t>
  </si>
  <si>
    <t>0900</t>
  </si>
  <si>
    <t>Private  Bag  X611</t>
  </si>
  <si>
    <t>Telephone number</t>
  </si>
  <si>
    <t>015  -  534 6100</t>
  </si>
  <si>
    <t>Fax number</t>
  </si>
  <si>
    <t>015  -  534 2513</t>
  </si>
  <si>
    <t>MUNICIPAL  MANAGER</t>
  </si>
  <si>
    <t>A.N. LURULI</t>
  </si>
  <si>
    <t>CHIEF FINANCIAL OFFICER</t>
  </si>
  <si>
    <t>IDQC (UNISA)</t>
  </si>
  <si>
    <t>NQF Level 6 (Wits)</t>
  </si>
  <si>
    <t>GENERAL INFORMATION</t>
  </si>
  <si>
    <t>Page</t>
  </si>
  <si>
    <t>*  Note 41</t>
  </si>
  <si>
    <t>*  Note 42</t>
  </si>
  <si>
    <t>* APPENDIX A</t>
  </si>
  <si>
    <t>* APPENDIX B</t>
  </si>
  <si>
    <t>BULK</t>
  </si>
  <si>
    <t>CONTRACTED</t>
  </si>
  <si>
    <t>MAYOR</t>
  </si>
  <si>
    <t>COUNC TRAVEL</t>
  </si>
  <si>
    <t>OTHER COUNCIL</t>
  </si>
  <si>
    <t>COUNCIL UIF</t>
  </si>
  <si>
    <t>CELL PHONES</t>
  </si>
  <si>
    <t>COUNCIL PENS</t>
  </si>
  <si>
    <t>COLLECTION COST</t>
  </si>
  <si>
    <t>RATES</t>
  </si>
  <si>
    <t>AGENCY FEE</t>
  </si>
  <si>
    <t>INTEREST EXTERNAL</t>
  </si>
  <si>
    <t>INTEREST DEBTORS</t>
  </si>
  <si>
    <t>PERMITS</t>
  </si>
  <si>
    <t>EQUITABLE SHARE</t>
  </si>
  <si>
    <t>FMG</t>
  </si>
  <si>
    <t>MSIG</t>
  </si>
  <si>
    <t>REFUSE</t>
  </si>
  <si>
    <t>SALE OF STANDS</t>
  </si>
  <si>
    <t>LICENSES</t>
  </si>
  <si>
    <t>FINES</t>
  </si>
  <si>
    <t>DPLG</t>
  </si>
  <si>
    <t>SETA</t>
  </si>
  <si>
    <t>MEMBERSHIP</t>
  </si>
  <si>
    <t>GRAVE FEES</t>
  </si>
  <si>
    <t>VOTE NUMBER</t>
  </si>
  <si>
    <t>BALANCE SHEET VOTES</t>
  </si>
  <si>
    <t>Public Transport</t>
  </si>
  <si>
    <t>6446</t>
  </si>
  <si>
    <t>Insurance claim - Chisanga</t>
  </si>
  <si>
    <t>Cemetry Upgrade</t>
  </si>
  <si>
    <t>New Buidings Civic centre</t>
  </si>
  <si>
    <t>Construction of conrete road</t>
  </si>
  <si>
    <t>Art &amp; Culture (lotto)</t>
  </si>
  <si>
    <t>Office Building New</t>
  </si>
  <si>
    <t>The municipality accounts for Value Added Tax on the cash basis.</t>
  </si>
  <si>
    <t>Service charges : Electricity</t>
  </si>
  <si>
    <t xml:space="preserve"> </t>
  </si>
  <si>
    <t>Licensing &amp; permits</t>
  </si>
  <si>
    <t>Increase in licensing fees resulted in more revenue.</t>
  </si>
  <si>
    <t>Revenue for agency services</t>
  </si>
  <si>
    <t>Government grants &amp; subsidies – operating</t>
  </si>
  <si>
    <t>Government grants &amp; subsidies – capital</t>
  </si>
  <si>
    <r>
      <t>·</t>
    </r>
    <r>
      <rPr>
        <sz val="10"/>
        <color indexed="8"/>
        <rFont val="Arial"/>
        <family val="2"/>
      </rPr>
      <t xml:space="preserve"> It is probable that the economic benefits or service potential associated with the transaction will flow    to the municipality;  and </t>
    </r>
  </si>
  <si>
    <r>
      <t>·</t>
    </r>
    <r>
      <rPr>
        <sz val="10"/>
        <color indexed="8"/>
        <rFont val="Arial"/>
        <family val="2"/>
      </rPr>
      <t> The amount of the revenue can be measured reliably.</t>
    </r>
  </si>
  <si>
    <t>Subsistence</t>
  </si>
  <si>
    <t>Trav</t>
  </si>
  <si>
    <t>010/440/1366</t>
  </si>
  <si>
    <t>Telephone</t>
  </si>
  <si>
    <t>Landli</t>
  </si>
  <si>
    <t>010/440/1367</t>
  </si>
  <si>
    <t>Mobile</t>
  </si>
  <si>
    <t>010/440/1368</t>
  </si>
  <si>
    <t>Donations</t>
  </si>
  <si>
    <t>010/440/1369</t>
  </si>
  <si>
    <t>Youth</t>
  </si>
  <si>
    <t>assistance</t>
  </si>
  <si>
    <t>010/440/1391</t>
  </si>
  <si>
    <t>Musina</t>
  </si>
  <si>
    <t>Annual</t>
  </si>
  <si>
    <t>Show</t>
  </si>
  <si>
    <t>010/440/1395</t>
  </si>
  <si>
    <t>Campaign</t>
  </si>
  <si>
    <t>Against</t>
  </si>
  <si>
    <t>W</t>
  </si>
  <si>
    <t>010/440/1396</t>
  </si>
  <si>
    <t>Batho</t>
  </si>
  <si>
    <t>Pele</t>
  </si>
  <si>
    <t>010/440/1397</t>
  </si>
  <si>
    <t>010/440/1398</t>
  </si>
  <si>
    <t>Examinatio</t>
  </si>
  <si>
    <t>010/440/1399</t>
  </si>
  <si>
    <t>Poverty</t>
  </si>
  <si>
    <t>Alliviatio</t>
  </si>
  <si>
    <t>010/710/2200</t>
  </si>
  <si>
    <t>Public</t>
  </si>
  <si>
    <t>toilets</t>
  </si>
  <si>
    <t>in</t>
  </si>
  <si>
    <t>010/762/7601</t>
  </si>
  <si>
    <t>Malale</t>
  </si>
  <si>
    <t>O</t>
  </si>
  <si>
    <t>010/782/4500</t>
  </si>
  <si>
    <t>Toilets</t>
  </si>
  <si>
    <t>020/041/0256</t>
  </si>
  <si>
    <t>020/300/1001</t>
  </si>
  <si>
    <t>Basic</t>
  </si>
  <si>
    <t>Scale</t>
  </si>
  <si>
    <t>Sala</t>
  </si>
  <si>
    <t>020/300/1002</t>
  </si>
  <si>
    <t>Overtime</t>
  </si>
  <si>
    <t>Salarie</t>
  </si>
  <si>
    <t>020/300/1004</t>
  </si>
  <si>
    <t>Bonus</t>
  </si>
  <si>
    <t>Sal</t>
  </si>
  <si>
    <t>020/300/1009</t>
  </si>
  <si>
    <t>020/300/1010</t>
  </si>
  <si>
    <t>Payments</t>
  </si>
  <si>
    <t>S</t>
  </si>
  <si>
    <t>020/300/1012</t>
  </si>
  <si>
    <t>020/300/1013</t>
  </si>
  <si>
    <t>Travel</t>
  </si>
  <si>
    <t>020/300/1017</t>
  </si>
  <si>
    <t>Temporary</t>
  </si>
  <si>
    <t>wages</t>
  </si>
  <si>
    <t>020/310/1021</t>
  </si>
  <si>
    <t>020/310/1022</t>
  </si>
  <si>
    <t>Pension</t>
  </si>
  <si>
    <t>Sch</t>
  </si>
  <si>
    <t>020/310/1023</t>
  </si>
  <si>
    <t>020/310/1024</t>
  </si>
  <si>
    <t>Group</t>
  </si>
  <si>
    <t>Insur</t>
  </si>
  <si>
    <t>020/310/1029</t>
  </si>
  <si>
    <t>020/370/1071</t>
  </si>
  <si>
    <t>For</t>
  </si>
  <si>
    <t>Depr</t>
  </si>
  <si>
    <t>020/380/1111</t>
  </si>
  <si>
    <t>020/380/1224</t>
  </si>
  <si>
    <t>Non-Council</t>
  </si>
  <si>
    <t>Owned</t>
  </si>
  <si>
    <t>020/440/1263</t>
  </si>
  <si>
    <t>020/440/1308</t>
  </si>
  <si>
    <t>020/440/1310</t>
  </si>
  <si>
    <t>Consultants</t>
  </si>
  <si>
    <t>Prof</t>
  </si>
  <si>
    <t>020/440/1311</t>
  </si>
  <si>
    <t>020/440/1321</t>
  </si>
  <si>
    <t>Of</t>
  </si>
  <si>
    <t>020/440/1327</t>
  </si>
  <si>
    <t>020/440/1347</t>
  </si>
  <si>
    <t>020/440/1348</t>
  </si>
  <si>
    <t>020/440/1364</t>
  </si>
  <si>
    <t>020/440/1366</t>
  </si>
  <si>
    <t>020/440/1367</t>
  </si>
  <si>
    <t>020/762/7602</t>
  </si>
  <si>
    <t>Municipa</t>
  </si>
  <si>
    <t>020/762/7609</t>
  </si>
  <si>
    <t>Tape</t>
  </si>
  <si>
    <t>Recorder,</t>
  </si>
  <si>
    <t>Vid</t>
  </si>
  <si>
    <t>Audit</t>
  </si>
  <si>
    <t>021/041/0256</t>
  </si>
  <si>
    <t>021/300/1001</t>
  </si>
  <si>
    <t>021/300/1004</t>
  </si>
  <si>
    <t>021/300/1012</t>
  </si>
  <si>
    <t>021/300/1013</t>
  </si>
  <si>
    <t>021/310/1022</t>
  </si>
  <si>
    <t>Pen</t>
  </si>
  <si>
    <t>021/310/1023</t>
  </si>
  <si>
    <t>021/310/1029</t>
  </si>
  <si>
    <t>021/440/1308</t>
  </si>
  <si>
    <t>021/440/1310</t>
  </si>
  <si>
    <t>021/440/1340</t>
  </si>
  <si>
    <t>021/440/1347</t>
  </si>
  <si>
    <t>021/440/1348</t>
  </si>
  <si>
    <t>021/440/1364</t>
  </si>
  <si>
    <t>021/440/1366</t>
  </si>
  <si>
    <t>021/440/1367</t>
  </si>
  <si>
    <t>Town</t>
  </si>
  <si>
    <t>022/041/0256</t>
  </si>
  <si>
    <t>022/300/1001</t>
  </si>
  <si>
    <t>022/300/1004</t>
  </si>
  <si>
    <t>022/300/1013</t>
  </si>
  <si>
    <t>022/440/1308</t>
  </si>
  <si>
    <t>Increase/ (decrease) in shortterm portion of long term loan</t>
  </si>
  <si>
    <t xml:space="preserve">When items of property, plant and equipment are purchased from government grants, a transfer is made from the accumulated surplus/(deficit) to the Government Grants Reserve equal to the Government Grant recorded as revenue in the Statement of Financial Performance in accordance with a directive (budget circular) issued by National Treasury.  </t>
  </si>
  <si>
    <t xml:space="preserve">When such items of property, plant and equipment are depreciated, a transfer is made from the Government Grant Reserve to the accumulated surplus/(deficit).  </t>
  </si>
  <si>
    <t>The purpose of this reserve is to promote community equity and facilitate budgetary control by ensuring that sufficient funds are set aside to offset the future depreciation expenses that will be incurred over the estimated useful lives of the items of property, plant and equipment funded from government grants.</t>
  </si>
  <si>
    <t>027/300/1001</t>
  </si>
  <si>
    <t>027/300/1002</t>
  </si>
  <si>
    <t>027/300/1004</t>
  </si>
  <si>
    <t>027/300/1009</t>
  </si>
  <si>
    <t>027/300/1010</t>
  </si>
  <si>
    <t>027/300/1012</t>
  </si>
  <si>
    <t>027/300/1013</t>
  </si>
  <si>
    <t>027/300/1017</t>
  </si>
  <si>
    <t>Tempory</t>
  </si>
  <si>
    <t>Wages</t>
  </si>
  <si>
    <t>027/310/1021</t>
  </si>
  <si>
    <t>027/310/1022</t>
  </si>
  <si>
    <t>027/310/1023</t>
  </si>
  <si>
    <t>027/310/1024</t>
  </si>
  <si>
    <t>027/310/1029</t>
  </si>
  <si>
    <t>027/370/1071</t>
  </si>
  <si>
    <t>027/380/1111</t>
  </si>
  <si>
    <t>027/440/1301</t>
  </si>
  <si>
    <t>027/440/1308</t>
  </si>
  <si>
    <t>027/440/1310</t>
  </si>
  <si>
    <t>027/440/1311</t>
  </si>
  <si>
    <t>027/440/1327</t>
  </si>
  <si>
    <t>027/440/1347</t>
  </si>
  <si>
    <t>027/440/1348</t>
  </si>
  <si>
    <t>027/440/1364</t>
  </si>
  <si>
    <t>027/440/1366</t>
  </si>
  <si>
    <t>027/440/1367</t>
  </si>
  <si>
    <t>027/440/1368</t>
  </si>
  <si>
    <t>Training</t>
  </si>
  <si>
    <t>027/762/7603</t>
  </si>
  <si>
    <t>Aircon</t>
  </si>
  <si>
    <t>HOD</t>
  </si>
  <si>
    <t>Office</t>
  </si>
  <si>
    <t>030/041/0256</t>
  </si>
  <si>
    <t>030/440/1301</t>
  </si>
  <si>
    <t>030/440/1308</t>
  </si>
  <si>
    <t>030/440/1310</t>
  </si>
  <si>
    <t>030/440/1347</t>
  </si>
  <si>
    <t>030/440/1348</t>
  </si>
  <si>
    <t>030/440/1364</t>
  </si>
  <si>
    <t>030/440/1366</t>
  </si>
  <si>
    <t>030/440/1368</t>
  </si>
  <si>
    <t>030/440/1400</t>
  </si>
  <si>
    <t>Job</t>
  </si>
  <si>
    <t>Evaluation</t>
  </si>
  <si>
    <t>and</t>
  </si>
  <si>
    <t>031/040/0081</t>
  </si>
  <si>
    <t>031/041/0256</t>
  </si>
  <si>
    <t>031/300/1001</t>
  </si>
  <si>
    <t>031/300/1004</t>
  </si>
  <si>
    <t>031/300/1010</t>
  </si>
  <si>
    <t>031/300/1012</t>
  </si>
  <si>
    <t>031/310/1021</t>
  </si>
  <si>
    <t>Med</t>
  </si>
  <si>
    <t>031/310/1022</t>
  </si>
  <si>
    <t>031/310/1023</t>
  </si>
  <si>
    <t>031/310/1024</t>
  </si>
  <si>
    <t>031/310/1029</t>
  </si>
  <si>
    <t>031/370/1071</t>
  </si>
  <si>
    <t>031/380/1111</t>
  </si>
  <si>
    <t>031/440/1308</t>
  </si>
  <si>
    <t>031/440/1311</t>
  </si>
  <si>
    <t>031/440/1327</t>
  </si>
  <si>
    <t>031/440/1334</t>
  </si>
  <si>
    <t>Special</t>
  </si>
  <si>
    <t>Ac</t>
  </si>
  <si>
    <t>031/440/1336</t>
  </si>
  <si>
    <t>Licenses</t>
  </si>
  <si>
    <t>Permits</t>
  </si>
  <si>
    <t>031/440/1347</t>
  </si>
  <si>
    <t>031/440/1348</t>
  </si>
  <si>
    <t>031/440/1364</t>
  </si>
  <si>
    <t>031/440/1366</t>
  </si>
  <si>
    <t>031/440/1367</t>
  </si>
  <si>
    <t>031/762/7610</t>
  </si>
  <si>
    <t>Tables</t>
  </si>
  <si>
    <t>Messina</t>
  </si>
  <si>
    <t>N</t>
  </si>
  <si>
    <t>031/767/7611</t>
  </si>
  <si>
    <t>032/041/0256</t>
  </si>
  <si>
    <t>032/300/1001</t>
  </si>
  <si>
    <t>032/300/1004</t>
  </si>
  <si>
    <t>032/300/1009</t>
  </si>
  <si>
    <t>032/300/1012</t>
  </si>
  <si>
    <t>032/310/1021</t>
  </si>
  <si>
    <t>032/310/1022</t>
  </si>
  <si>
    <t>032/310/1023</t>
  </si>
  <si>
    <t>032/310/1024</t>
  </si>
  <si>
    <t>032/310/1029</t>
  </si>
  <si>
    <t>032/370/1071</t>
  </si>
  <si>
    <t>032/380/1101</t>
  </si>
  <si>
    <t>032/380/1215</t>
  </si>
  <si>
    <t>Bu</t>
  </si>
  <si>
    <t>032/440/1308</t>
  </si>
  <si>
    <t>032/440/1311</t>
  </si>
  <si>
    <t>032/440/1347</t>
  </si>
  <si>
    <t>032/440/1348</t>
  </si>
  <si>
    <t>032/440/1353</t>
  </si>
  <si>
    <t>Relations</t>
  </si>
  <si>
    <t>032/440/1364</t>
  </si>
  <si>
    <t>032/440/1366</t>
  </si>
  <si>
    <t>032/440/1367</t>
  </si>
  <si>
    <t>050/040/0221</t>
  </si>
  <si>
    <t>Equitable</t>
  </si>
  <si>
    <t>Share</t>
  </si>
  <si>
    <t>050/041/0256</t>
  </si>
  <si>
    <t>050/080/0141</t>
  </si>
  <si>
    <t>Int</t>
  </si>
  <si>
    <t>Earned</t>
  </si>
  <si>
    <t>Exter</t>
  </si>
  <si>
    <t>050/080/0151</t>
  </si>
  <si>
    <t>050/100/0151</t>
  </si>
  <si>
    <t>050/140/0202</t>
  </si>
  <si>
    <t>Clearanc</t>
  </si>
  <si>
    <t>050/161/1299</t>
  </si>
  <si>
    <t>National</t>
  </si>
  <si>
    <t>050/300/1001</t>
  </si>
  <si>
    <t>050/300/1002</t>
  </si>
  <si>
    <t>050/300/1004</t>
  </si>
  <si>
    <t>050/300/1009</t>
  </si>
  <si>
    <t>050/300/1010</t>
  </si>
  <si>
    <t>050/300/1012</t>
  </si>
  <si>
    <t>050/300/1013</t>
  </si>
  <si>
    <t>050/300/1017</t>
  </si>
  <si>
    <t>050/310/1021</t>
  </si>
  <si>
    <t>050/310/1022</t>
  </si>
  <si>
    <t>050/310/1023</t>
  </si>
  <si>
    <t>050/310/1024</t>
  </si>
  <si>
    <t>050/310/1029</t>
  </si>
  <si>
    <t>050/350/1071</t>
  </si>
  <si>
    <t>Work</t>
  </si>
  <si>
    <t>050/370/1071</t>
  </si>
  <si>
    <t>050/380/1111</t>
  </si>
  <si>
    <t>Equi</t>
  </si>
  <si>
    <t>050/440/1303</t>
  </si>
  <si>
    <t>Auditors</t>
  </si>
  <si>
    <t>050/440/1304</t>
  </si>
  <si>
    <t>050/440/1306</t>
  </si>
  <si>
    <t>Administratio</t>
  </si>
  <si>
    <t>050/440/1308</t>
  </si>
  <si>
    <t>050/440/1310</t>
  </si>
  <si>
    <t>050/440/1327</t>
  </si>
  <si>
    <t>050/440/1334</t>
  </si>
  <si>
    <t>050/440/1335</t>
  </si>
  <si>
    <t>050/440/1347</t>
  </si>
  <si>
    <t>050/440/1348</t>
  </si>
  <si>
    <t>050/440/1350</t>
  </si>
  <si>
    <t>Protective</t>
  </si>
  <si>
    <t>Clothin</t>
  </si>
  <si>
    <t>050/440/1356</t>
  </si>
  <si>
    <t>Regional</t>
  </si>
  <si>
    <t>050/440/1360</t>
  </si>
  <si>
    <t>050/440/1364</t>
  </si>
  <si>
    <t>050/440/1366</t>
  </si>
  <si>
    <t>050/440/1367</t>
  </si>
  <si>
    <t>050/440/1368</t>
  </si>
  <si>
    <t>Indigent</t>
  </si>
  <si>
    <t>subsidy</t>
  </si>
  <si>
    <t>050/440/1369</t>
  </si>
  <si>
    <t>Free</t>
  </si>
  <si>
    <t>050/440/1370</t>
  </si>
  <si>
    <t>basic</t>
  </si>
  <si>
    <t>electri</t>
  </si>
  <si>
    <t>050/440/1380</t>
  </si>
  <si>
    <t>050/455/4130</t>
  </si>
  <si>
    <t>leav</t>
  </si>
  <si>
    <t>050/455/4131</t>
  </si>
  <si>
    <t>long</t>
  </si>
  <si>
    <t>050/455/4132</t>
  </si>
  <si>
    <t>to</t>
  </si>
  <si>
    <t>Ca</t>
  </si>
  <si>
    <t>050/455/4133</t>
  </si>
  <si>
    <t>050/761/7604</t>
  </si>
  <si>
    <t>x</t>
  </si>
  <si>
    <t>Mountain</t>
  </si>
  <si>
    <t>Bikes</t>
  </si>
  <si>
    <t>050/762/7605</t>
  </si>
  <si>
    <t>New</t>
  </si>
  <si>
    <t>Buil</t>
  </si>
  <si>
    <t>051/041/0256</t>
  </si>
  <si>
    <t>051/300/1001</t>
  </si>
  <si>
    <t>051/300/1002</t>
  </si>
  <si>
    <t>051/300/1004</t>
  </si>
  <si>
    <t>051/310/1021</t>
  </si>
  <si>
    <t>051/310/1022</t>
  </si>
  <si>
    <t>051/310/1023</t>
  </si>
  <si>
    <t>051/310/1024</t>
  </si>
  <si>
    <t>051/310/1029</t>
  </si>
  <si>
    <t>051/370/1071</t>
  </si>
  <si>
    <t>051/440/1327</t>
  </si>
  <si>
    <t>Information</t>
  </si>
  <si>
    <t>052/041/0256</t>
  </si>
  <si>
    <t>052/110/0161</t>
  </si>
  <si>
    <t>Dividends</t>
  </si>
  <si>
    <t>Received</t>
  </si>
  <si>
    <t>052/161/1299</t>
  </si>
  <si>
    <t>Management</t>
  </si>
  <si>
    <t>052/161/1300</t>
  </si>
  <si>
    <t>subsidi</t>
  </si>
  <si>
    <t>052/300/1001</t>
  </si>
  <si>
    <t>052/300/1002</t>
  </si>
  <si>
    <t>052/300/1004</t>
  </si>
  <si>
    <t>052/300/1012</t>
  </si>
  <si>
    <t>052/300/1013</t>
  </si>
  <si>
    <t>052/310/1021</t>
  </si>
  <si>
    <t>052/310/1022</t>
  </si>
  <si>
    <t>052/310/1023</t>
  </si>
  <si>
    <t>052/310/1024</t>
  </si>
  <si>
    <t>Gro</t>
  </si>
  <si>
    <t>082/440/1111</t>
  </si>
  <si>
    <t>082/440/1215</t>
  </si>
  <si>
    <t>082/440/1311</t>
  </si>
  <si>
    <t>082/440/1327</t>
  </si>
  <si>
    <t>082/700/0200</t>
  </si>
  <si>
    <t>Civic</t>
  </si>
  <si>
    <t>Centr</t>
  </si>
  <si>
    <t>082/700/7620</t>
  </si>
  <si>
    <t>Buildin</t>
  </si>
  <si>
    <t>082/700/7621</t>
  </si>
  <si>
    <t>Daycare</t>
  </si>
  <si>
    <t>Centre</t>
  </si>
  <si>
    <t>082/700/7622</t>
  </si>
  <si>
    <t>Reception</t>
  </si>
  <si>
    <t>Area</t>
  </si>
  <si>
    <t>082/701/7623</t>
  </si>
  <si>
    <t>082/703/7624</t>
  </si>
  <si>
    <t>Bus</t>
  </si>
  <si>
    <t>Shelters</t>
  </si>
  <si>
    <t>082/710/7625</t>
  </si>
  <si>
    <t>Madimbo</t>
  </si>
  <si>
    <t>Fencing</t>
  </si>
  <si>
    <t>082/710/7626</t>
  </si>
  <si>
    <t>Toilet</t>
  </si>
  <si>
    <t>Build-Up</t>
  </si>
  <si>
    <t>Ar</t>
  </si>
  <si>
    <t>082/722/1700</t>
  </si>
  <si>
    <t>Renovation</t>
  </si>
  <si>
    <t>Comm</t>
  </si>
  <si>
    <t>082/762/1101</t>
  </si>
  <si>
    <t>Extension</t>
  </si>
  <si>
    <t>082/780/4300</t>
  </si>
  <si>
    <t>Civiv</t>
  </si>
  <si>
    <t>centr</t>
  </si>
  <si>
    <t>082/780/7627</t>
  </si>
  <si>
    <t>Loan</t>
  </si>
  <si>
    <t>084/040/0041</t>
  </si>
  <si>
    <t>084/040/0042</t>
  </si>
  <si>
    <t>Elec</t>
  </si>
  <si>
    <t>Fe</t>
  </si>
  <si>
    <t>084/040/0043</t>
  </si>
  <si>
    <t>Re-Con</t>
  </si>
  <si>
    <t>084/040/0044</t>
  </si>
  <si>
    <t>Pre-Pa</t>
  </si>
  <si>
    <t>084/040/0221</t>
  </si>
  <si>
    <t>084/040/0222</t>
  </si>
  <si>
    <t>Electrification</t>
  </si>
  <si>
    <t>Gr</t>
  </si>
  <si>
    <t>084/041/0256</t>
  </si>
  <si>
    <t>084/300/1001</t>
  </si>
  <si>
    <t>084/300/1002</t>
  </si>
  <si>
    <t>084/300/1004</t>
  </si>
  <si>
    <t>084/300/1005</t>
  </si>
  <si>
    <t>084/300/1009</t>
  </si>
  <si>
    <t>084/300/1010</t>
  </si>
  <si>
    <t>084/300/1012</t>
  </si>
  <si>
    <t>084/310/1021</t>
  </si>
  <si>
    <t>084/310/1022</t>
  </si>
  <si>
    <t>084/310/1023</t>
  </si>
  <si>
    <t>084/310/1024</t>
  </si>
  <si>
    <t>084/310/1029</t>
  </si>
  <si>
    <t>084/370/1071</t>
  </si>
  <si>
    <t>084/380/1111</t>
  </si>
  <si>
    <t>084/380/1130</t>
  </si>
  <si>
    <t>Distribution</t>
  </si>
  <si>
    <t>Netwo</t>
  </si>
  <si>
    <t>084/380/1215</t>
  </si>
  <si>
    <t>084/380/1220</t>
  </si>
  <si>
    <t>084/390/1231</t>
  </si>
  <si>
    <t>084/400/1241</t>
  </si>
  <si>
    <t>084/440/1251</t>
  </si>
  <si>
    <t>Bulk</t>
  </si>
  <si>
    <t>Purchases</t>
  </si>
  <si>
    <t>E</t>
  </si>
  <si>
    <t>084/440/1308</t>
  </si>
  <si>
    <t>084/440/1311</t>
  </si>
  <si>
    <t>084/440/1325</t>
  </si>
  <si>
    <t>084/440/1327</t>
  </si>
  <si>
    <t>084/440/1335</t>
  </si>
  <si>
    <t>084/440/1348</t>
  </si>
  <si>
    <t>084/440/1350</t>
  </si>
  <si>
    <t>084/440/1364</t>
  </si>
  <si>
    <t>084/440/1366</t>
  </si>
  <si>
    <t>084/440/1367</t>
  </si>
  <si>
    <t>084/704/7629</t>
  </si>
  <si>
    <t>084/704/7630</t>
  </si>
  <si>
    <t>084/704/7631</t>
  </si>
  <si>
    <t>Ho</t>
  </si>
  <si>
    <t>084/704/7632</t>
  </si>
  <si>
    <t>Installation</t>
  </si>
  <si>
    <t>Hi</t>
  </si>
  <si>
    <t>084/784/7633</t>
  </si>
  <si>
    <t>085/380/1111</t>
  </si>
  <si>
    <t>085/380/1158</t>
  </si>
  <si>
    <t>085/440/1251</t>
  </si>
  <si>
    <t>085/440/1325</t>
  </si>
  <si>
    <t>085/440/1327</t>
  </si>
  <si>
    <t>085/440/1348</t>
  </si>
  <si>
    <t>085/440/1350</t>
  </si>
  <si>
    <t>086/041/0256</t>
  </si>
  <si>
    <t>086/370/1071</t>
  </si>
  <si>
    <t>086/380/1215</t>
  </si>
  <si>
    <t>086/440/1311</t>
  </si>
  <si>
    <t>086/440/1327</t>
  </si>
  <si>
    <t>086/440/1348</t>
  </si>
  <si>
    <t>086/440/1350</t>
  </si>
  <si>
    <t>087/041/0256</t>
  </si>
  <si>
    <t>087/300/1001</t>
  </si>
  <si>
    <t>087/300/1004</t>
  </si>
  <si>
    <t>087/310/1021</t>
  </si>
  <si>
    <t>087/310/1022</t>
  </si>
  <si>
    <t>087/310/1023</t>
  </si>
  <si>
    <t>087/310/1024</t>
  </si>
  <si>
    <t>087/310/1029</t>
  </si>
  <si>
    <t>087/440/1301</t>
  </si>
  <si>
    <t>087/440/1364</t>
  </si>
  <si>
    <t>087/440/1366</t>
  </si>
  <si>
    <t>087/440/1371</t>
  </si>
  <si>
    <t>Projects</t>
  </si>
  <si>
    <t>087/440/1372</t>
  </si>
  <si>
    <t>18.</t>
  </si>
  <si>
    <t>19.</t>
  </si>
  <si>
    <r>
      <rPr>
        <b/>
        <sz val="8"/>
        <color indexed="8"/>
        <rFont val="Arial"/>
        <family val="2"/>
      </rPr>
      <t>35.</t>
    </r>
    <r>
      <rPr>
        <b/>
        <sz val="6"/>
        <color indexed="8"/>
        <rFont val="Arial"/>
        <family val="2"/>
      </rPr>
      <t xml:space="preserve">               </t>
    </r>
    <r>
      <rPr>
        <b/>
        <sz val="8"/>
        <color indexed="8"/>
        <rFont val="Arial"/>
        <family val="2"/>
      </rPr>
      <t>(continue)</t>
    </r>
  </si>
  <si>
    <t>36.</t>
  </si>
  <si>
    <t>37.</t>
  </si>
  <si>
    <t>CHANGE IN ACCOUNTING POLICY - IMPLEMENTATION OF GAMAP</t>
  </si>
  <si>
    <t>The following adjustments were made to amounts previously reported in the annual financial statements of the Municipality arising from the implementation of GAMAP:-</t>
  </si>
  <si>
    <t>Statutory Funds</t>
  </si>
  <si>
    <t>Balance previously reported:-</t>
  </si>
  <si>
    <t>Implementation of GAMAP</t>
  </si>
  <si>
    <t>Provisions and Reserves</t>
  </si>
  <si>
    <t>Property, plant and equipment</t>
  </si>
  <si>
    <t>Accumulated Depreciation</t>
  </si>
  <si>
    <t>Current provisions</t>
  </si>
  <si>
    <t>Accumulated surplus</t>
  </si>
  <si>
    <t xml:space="preserve">                                  - Suspense accounts</t>
  </si>
  <si>
    <t xml:space="preserve">                                  - Provisions</t>
  </si>
  <si>
    <t>39.</t>
  </si>
  <si>
    <t>40.</t>
  </si>
  <si>
    <t>Capital Development Fund</t>
  </si>
  <si>
    <t>Township Development Suspense &amp; Land Trust</t>
  </si>
  <si>
    <t>Loans redeemed and other capital receipts</t>
  </si>
  <si>
    <t>Loan Redemption Fund</t>
  </si>
  <si>
    <t>Transferred to Government Grant Reserve</t>
  </si>
  <si>
    <t>Transferred to Donations and Public Contribution Reserve</t>
  </si>
  <si>
    <t>Transferred to Capitalisaton Reserve</t>
  </si>
  <si>
    <t>Transferred to Capital Replacement Reserve</t>
  </si>
  <si>
    <t>Backlog depreciation: Land and buildings</t>
  </si>
  <si>
    <t>Backlog depreciation: Infrastructure</t>
  </si>
  <si>
    <t>Backlog depreciation: Community</t>
  </si>
  <si>
    <t>Backlog depreciation: Other</t>
  </si>
  <si>
    <t>Transferred from Accumulated Surplus</t>
  </si>
  <si>
    <t>Other adjustments - Appropriations</t>
  </si>
  <si>
    <t>A list of possible liability claims where outcome was unknown at year end</t>
  </si>
  <si>
    <t>10.</t>
  </si>
  <si>
    <t>This grant is observed as a contribution to the construction of a Multi-Purpose Community Centre.</t>
  </si>
  <si>
    <t>Department of Provincial and Local Government (DPLG)</t>
  </si>
  <si>
    <t>This grant was used to erect a mini water purification/package plant to provide water in the rural area.  The conditions of the grant were met and no funds have been withheld</t>
  </si>
  <si>
    <t>PUBLIC CONTRIBUTIONS, DONATED &amp; CONTRIBUTED PROPERTY,  PLANT &amp; EQUIPMENT</t>
  </si>
  <si>
    <t>National Lottery Distribution Fund</t>
  </si>
  <si>
    <t>Other grants</t>
  </si>
  <si>
    <t>Total donated property, plant &amp; equipment</t>
  </si>
  <si>
    <t>EXTERNAL INVESTMENTS</t>
  </si>
  <si>
    <t>Current account</t>
  </si>
  <si>
    <t>External investments</t>
  </si>
  <si>
    <t>Sundry loans</t>
  </si>
  <si>
    <t>Services:</t>
  </si>
  <si>
    <t>Total interest earned</t>
  </si>
  <si>
    <t>OTHER REVENUE</t>
  </si>
  <si>
    <t>EMPLOYEE RELATED COSTS</t>
  </si>
  <si>
    <t>Salaries and wages</t>
  </si>
  <si>
    <t>Social contributions:</t>
  </si>
  <si>
    <t>Pension deductions</t>
  </si>
  <si>
    <t>Medical aid funds</t>
  </si>
  <si>
    <t>Group insurance</t>
  </si>
  <si>
    <t>Housing subsidy</t>
  </si>
  <si>
    <t>Unemployment Insurance Fund</t>
  </si>
  <si>
    <t>Funds and reserves and trust funds</t>
  </si>
  <si>
    <t>Adjustment for</t>
  </si>
  <si>
    <t>Linked to Changes in assets</t>
  </si>
  <si>
    <r>
      <t>Made up as follows</t>
    </r>
    <r>
      <rPr>
        <b/>
        <i/>
        <sz val="10"/>
        <color indexed="8"/>
        <rFont val="Arial"/>
        <family val="2"/>
      </rPr>
      <t>:</t>
    </r>
  </si>
  <si>
    <t>The municipality does have municipal entities</t>
  </si>
  <si>
    <t>Will be Consolidated for 0809</t>
  </si>
  <si>
    <t>The Municipality has taken advantage of the transitional provisions set out in GAMAP 17. The Municipality is in the process of itemizing all infrastructure and community assets and will recalculate accumulated depreciation once this exercise has been completed by 30 June 2009. At present depreciation on these assets is calculated on an averaging basis whereby an average useful life has been estimated for each category of infrastructure and community assets, using global historical costs recorded in the accounting records. Futhermore, the Municipality has not assessed whether items of property, plant and equipment are impaired. It is expected that an assessment of impairments will be done by 30June 2009.</t>
  </si>
  <si>
    <t>(Increase)/decrease in cash investments</t>
  </si>
  <si>
    <t>Increase/(decrease) in deposits</t>
  </si>
  <si>
    <t>Appropriation previous year</t>
  </si>
  <si>
    <t>Redemption of external funds</t>
  </si>
  <si>
    <t>Increase/(decrease) in provisions</t>
  </si>
  <si>
    <t>Capital Charges</t>
  </si>
  <si>
    <t>Defered charges written off</t>
  </si>
  <si>
    <t>Investment income (Operating Account)</t>
  </si>
  <si>
    <t>Deferred charges written off - Investment income</t>
  </si>
  <si>
    <t>11.</t>
  </si>
  <si>
    <t>INTANGIBLE ASSETS</t>
  </si>
  <si>
    <t>The municipality did not recognize servitudes in the previous financial year and has not recognized any servitudes in 2007/2008 due to the exemption that was granted allowing the municipality to only account for any software and website costs for the 2006/2007 and 2007/2008 financial years as per Gazette 30013 dated 29 June 2007.</t>
  </si>
  <si>
    <t>Non Cash</t>
  </si>
  <si>
    <t>Unspend</t>
  </si>
  <si>
    <t>Grants capital</t>
  </si>
  <si>
    <t>Grants operating</t>
  </si>
  <si>
    <t>Gain on disposal of property, plant &amp; equipment</t>
  </si>
  <si>
    <t xml:space="preserve">Contributions to provisions </t>
  </si>
  <si>
    <t>Correction on previous year township development</t>
  </si>
  <si>
    <t xml:space="preserve">The Musina Local Municipality uses a site and improvement value assessment rate system. According to this assessment rates are levied on the land and improvement value of properties and rebates are granted according to the usage of a particular property.  </t>
  </si>
  <si>
    <r>
      <t>Consumer deposits are a partial security for a future payment of an account.  All consumers are therefore required to pay a deposit</t>
    </r>
    <r>
      <rPr>
        <sz val="10"/>
        <color indexed="8"/>
        <rFont val="Arial"/>
        <family val="2"/>
      </rPr>
      <t xml:space="preserve"> equal to an average </t>
    </r>
    <r>
      <rPr>
        <sz val="10"/>
        <color indexed="8"/>
        <rFont val="Arial"/>
        <family val="2"/>
      </rPr>
      <t>consumption of electricity and water services.  Deposits are considered a liability as the deposit is only refunded once the service is terminated.</t>
    </r>
    <r>
      <rPr>
        <sz val="10"/>
        <color indexed="8"/>
        <rFont val="Arial"/>
        <family val="2"/>
      </rPr>
      <t xml:space="preserve">  No interest is paid on deposits.</t>
    </r>
  </si>
  <si>
    <t>Old Age home</t>
  </si>
  <si>
    <t>Department of Public Works</t>
  </si>
  <si>
    <t>LALF 15306/8</t>
  </si>
  <si>
    <t>102405/1</t>
  </si>
  <si>
    <t>10068/1</t>
  </si>
  <si>
    <t>62984819</t>
  </si>
  <si>
    <t>41.</t>
  </si>
  <si>
    <t>OPERATING LEASES</t>
  </si>
  <si>
    <t>384</t>
  </si>
  <si>
    <t>Balance outstanding (to)/from SARS</t>
  </si>
  <si>
    <t>Public services</t>
  </si>
  <si>
    <t xml:space="preserve">Legal </t>
  </si>
  <si>
    <t>Tourism</t>
  </si>
  <si>
    <t>Inserted</t>
  </si>
  <si>
    <t>LED</t>
  </si>
  <si>
    <t>idp</t>
  </si>
  <si>
    <t>workshop</t>
  </si>
  <si>
    <t>Stores</t>
  </si>
  <si>
    <t>Corp Serv</t>
  </si>
  <si>
    <t>Accumulated surplus/(Deficit):  beginning of year</t>
  </si>
  <si>
    <t>Workshop</t>
  </si>
  <si>
    <t>IDP</t>
  </si>
  <si>
    <t>Absa Bank : Musina</t>
  </si>
  <si>
    <t>Account number : 2050550179</t>
  </si>
  <si>
    <t>Type : cheque account</t>
  </si>
  <si>
    <t>Account number : 4063288025</t>
  </si>
  <si>
    <r>
      <t xml:space="preserve">   (i)</t>
    </r>
    <r>
      <rPr>
        <sz val="7"/>
        <rFont val="Times New Roman"/>
        <family val="1"/>
      </rPr>
      <t xml:space="preserve">  </t>
    </r>
    <r>
      <rPr>
        <sz val="8"/>
        <rFont val="Arial"/>
        <family val="2"/>
      </rPr>
      <t>Additions, indicating separately those from internal development, those acquired separately, and those acquired through business</t>
    </r>
    <r>
      <rPr>
        <sz val="11"/>
        <rFont val="Arial"/>
        <family val="2"/>
      </rPr>
      <t xml:space="preserve"> </t>
    </r>
    <r>
      <rPr>
        <sz val="8"/>
        <rFont val="Arial"/>
        <family val="2"/>
      </rPr>
      <t xml:space="preserve">combinations; </t>
    </r>
  </si>
  <si>
    <r>
      <t xml:space="preserve">   (ii) </t>
    </r>
    <r>
      <rPr>
        <sz val="7"/>
        <rFont val="Times New Roman"/>
        <family val="1"/>
      </rPr>
      <t> </t>
    </r>
    <r>
      <rPr>
        <sz val="8"/>
        <rFont val="Arial"/>
        <family val="2"/>
      </rPr>
      <t xml:space="preserve">Any amortisation recognised during the period; </t>
    </r>
  </si>
  <si>
    <r>
      <t>6)</t>
    </r>
    <r>
      <rPr>
        <sz val="7"/>
        <rFont val="Times New Roman"/>
        <family val="1"/>
      </rPr>
      <t xml:space="preserve">       </t>
    </r>
    <r>
      <rPr>
        <sz val="8"/>
        <rFont val="Arial"/>
        <family val="2"/>
      </rPr>
      <t xml:space="preserve">The municipality shall disclose the aggregate amount of research and development expenditure recognised as an expense during the period. </t>
    </r>
  </si>
  <si>
    <r>
      <t>7)</t>
    </r>
    <r>
      <rPr>
        <sz val="7"/>
        <rFont val="Times New Roman"/>
        <family val="1"/>
      </rPr>
      <t xml:space="preserve">       </t>
    </r>
    <r>
      <rPr>
        <sz val="8"/>
        <rFont val="Arial"/>
        <family val="2"/>
      </rPr>
      <t>The municipality shall give a description of any fully amortised intangible asset that is still in use.</t>
    </r>
  </si>
  <si>
    <r>
      <t>8)</t>
    </r>
    <r>
      <rPr>
        <sz val="7"/>
        <rFont val="Times New Roman"/>
        <family val="1"/>
      </rPr>
      <t xml:space="preserve">       </t>
    </r>
    <r>
      <rPr>
        <sz val="8"/>
        <rFont val="Arial"/>
        <family val="2"/>
      </rPr>
      <t xml:space="preserve"> The municipality shall also disclose the following:</t>
    </r>
  </si>
  <si>
    <r>
      <t>·</t>
    </r>
    <r>
      <rPr>
        <sz val="7"/>
        <rFont val="Times New Roman"/>
        <family val="1"/>
      </rPr>
      <t xml:space="preserve">     </t>
    </r>
    <r>
      <rPr>
        <sz val="8"/>
        <rFont val="Arial"/>
        <family val="2"/>
      </rPr>
      <t xml:space="preserve">A description, the carrying amount and remaining amortisation period of any individual intangible asset that is material to the entity’s financial statements. </t>
    </r>
  </si>
  <si>
    <r>
      <t>·</t>
    </r>
    <r>
      <rPr>
        <sz val="7"/>
        <rFont val="Times New Roman"/>
        <family val="1"/>
      </rPr>
      <t xml:space="preserve">     </t>
    </r>
    <r>
      <rPr>
        <sz val="8"/>
        <rFont val="Arial"/>
        <family val="2"/>
      </rPr>
      <t xml:space="preserve">For intangible assets acquired by way of a government grant and initially recognised at fair value: </t>
    </r>
  </si>
  <si>
    <r>
      <t>(i)</t>
    </r>
    <r>
      <rPr>
        <sz val="7"/>
        <rFont val="Times New Roman"/>
        <family val="1"/>
      </rPr>
      <t xml:space="preserve">                   </t>
    </r>
    <r>
      <rPr>
        <sz val="8"/>
        <rFont val="Arial"/>
        <family val="2"/>
      </rPr>
      <t xml:space="preserve">The fair value initially recognised for these assets; </t>
    </r>
  </si>
  <si>
    <r>
      <t>(ii)</t>
    </r>
    <r>
      <rPr>
        <sz val="7"/>
        <rFont val="Times New Roman"/>
        <family val="1"/>
      </rPr>
      <t xml:space="preserve">                  </t>
    </r>
    <r>
      <rPr>
        <sz val="8"/>
        <rFont val="Arial"/>
        <family val="2"/>
      </rPr>
      <t xml:space="preserve">Their carrying amount; and </t>
    </r>
  </si>
  <si>
    <r>
      <t>(iii)</t>
    </r>
    <r>
      <rPr>
        <sz val="7"/>
        <rFont val="Times New Roman"/>
        <family val="1"/>
      </rPr>
      <t xml:space="preserve">                 </t>
    </r>
    <r>
      <rPr>
        <sz val="8"/>
        <rFont val="Arial"/>
        <family val="2"/>
      </rPr>
      <t xml:space="preserve">Whether they are measured after recognition under the cost model or the revaluation model. </t>
    </r>
  </si>
  <si>
    <r>
      <t>·</t>
    </r>
    <r>
      <rPr>
        <sz val="7"/>
        <rFont val="Times New Roman"/>
        <family val="1"/>
      </rPr>
      <t xml:space="preserve">     </t>
    </r>
    <r>
      <rPr>
        <sz val="8"/>
        <rFont val="Arial"/>
        <family val="2"/>
      </rPr>
      <t xml:space="preserve">The amount of contractual commitments for the acquisition of intangible assets. </t>
    </r>
  </si>
  <si>
    <t>IAS 39</t>
  </si>
  <si>
    <t>Financial instruments: recognition and measurement</t>
  </si>
  <si>
    <t>Initially measuring financial assets and liabilities at fair value(IAS 39.43, AG79, AG64 – AG65 and SAICA circular 9/06)</t>
  </si>
  <si>
    <r>
      <t>1)</t>
    </r>
    <r>
      <rPr>
        <sz val="7"/>
        <rFont val="Times New Roman"/>
        <family val="1"/>
      </rPr>
      <t xml:space="preserve">       </t>
    </r>
    <r>
      <rPr>
        <sz val="8"/>
        <rFont val="Arial"/>
        <family val="2"/>
      </rPr>
      <t>The municipality must study the applicable sections of IAS 39.</t>
    </r>
  </si>
  <si>
    <t>The full initial measurement of financial assets and liabilities will have to be recalculated and corrected retrospectively, is practicable. The previous column gives an indication of the extent of adjustment for full compliance with IAS 39.43, AG79, AG64 - AG65 and SAICA circular 9/06.</t>
  </si>
  <si>
    <t>(AC 133)</t>
  </si>
  <si>
    <r>
      <t>2)</t>
    </r>
    <r>
      <rPr>
        <sz val="7"/>
        <rFont val="Times New Roman"/>
        <family val="1"/>
      </rPr>
      <t xml:space="preserve">       </t>
    </r>
    <r>
      <rPr>
        <sz val="8"/>
        <rFont val="Arial"/>
        <family val="2"/>
      </rPr>
      <t>The fair values of these financial instruments will have to be determined, based on the type of financial instrument as per IAS 39.9.</t>
    </r>
  </si>
  <si>
    <r>
      <t>3)</t>
    </r>
    <r>
      <rPr>
        <sz val="7"/>
        <rFont val="Times New Roman"/>
        <family val="1"/>
      </rPr>
      <t xml:space="preserve">       </t>
    </r>
    <r>
      <rPr>
        <sz val="8"/>
        <rFont val="Arial"/>
        <family val="2"/>
      </rPr>
      <t>Discounting of certain financial instruments will have to be performed if the discounted value differs materially from its cost/ face value.</t>
    </r>
  </si>
  <si>
    <t>IAS 40</t>
  </si>
  <si>
    <t>Investment property</t>
  </si>
  <si>
    <t>The entire standard to the extent that the property is accounted for in terms of GAMAP 17</t>
  </si>
  <si>
    <r>
      <t>1)</t>
    </r>
    <r>
      <rPr>
        <sz val="7"/>
        <rFont val="Times New Roman"/>
        <family val="1"/>
      </rPr>
      <t xml:space="preserve">       </t>
    </r>
    <r>
      <rPr>
        <sz val="8"/>
        <rFont val="Arial"/>
        <family val="2"/>
      </rPr>
      <t>Prepare a list of all possible names under which property belonging to the municipality could have been registered in the past.</t>
    </r>
  </si>
  <si>
    <t>The following adjustments will need to be made to the AFS if IAS 40 is implemented and if IP is measured at Fair Value.</t>
  </si>
  <si>
    <t>(AC 135)</t>
  </si>
  <si>
    <r>
      <t>2)</t>
    </r>
    <r>
      <rPr>
        <sz val="7"/>
        <rFont val="Times New Roman"/>
        <family val="1"/>
      </rPr>
      <t xml:space="preserve">       </t>
    </r>
    <r>
      <rPr>
        <sz val="8"/>
        <rFont val="Arial"/>
        <family val="2"/>
      </rPr>
      <t>Perform a title deeds search using all these names mentioned in 1) above to identify all land and buildings under the control of the municipality.</t>
    </r>
  </si>
  <si>
    <r>
      <t>·</t>
    </r>
    <r>
      <rPr>
        <sz val="7"/>
        <rFont val="Times New Roman"/>
        <family val="1"/>
      </rPr>
      <t xml:space="preserve">          </t>
    </r>
    <r>
      <rPr>
        <sz val="8"/>
        <color indexed="8"/>
        <rFont val="Arial"/>
        <family val="2"/>
      </rPr>
      <t>The</t>
    </r>
    <r>
      <rPr>
        <sz val="8"/>
        <rFont val="Arial"/>
        <family val="2"/>
      </rPr>
      <t xml:space="preserve"> </t>
    </r>
    <r>
      <rPr>
        <sz val="8"/>
        <color indexed="8"/>
        <rFont val="Arial"/>
        <family val="2"/>
      </rPr>
      <t>criteria developed by the municipality to distinguish investment</t>
    </r>
    <r>
      <rPr>
        <sz val="8"/>
        <rFont val="Arial"/>
        <family val="2"/>
      </rPr>
      <t xml:space="preserve"> </t>
    </r>
    <r>
      <rPr>
        <sz val="8"/>
        <color indexed="8"/>
        <rFont val="Arial"/>
        <family val="2"/>
      </rPr>
      <t>property from owner-occupied property and from</t>
    </r>
    <r>
      <rPr>
        <sz val="8"/>
        <rFont val="Arial"/>
        <family val="2"/>
      </rPr>
      <t xml:space="preserve"> </t>
    </r>
    <r>
      <rPr>
        <sz val="8"/>
        <color indexed="8"/>
        <rFont val="Arial"/>
        <family val="2"/>
      </rPr>
      <t>property held for sale in the ordinary course of</t>
    </r>
    <r>
      <rPr>
        <sz val="8"/>
        <rFont val="Arial"/>
        <family val="2"/>
      </rPr>
      <t xml:space="preserve"> </t>
    </r>
    <r>
      <rPr>
        <sz val="8"/>
        <color indexed="8"/>
        <rFont val="Arial"/>
        <family val="2"/>
      </rPr>
      <t>operations;</t>
    </r>
  </si>
  <si>
    <r>
      <t>3)</t>
    </r>
    <r>
      <rPr>
        <sz val="7"/>
        <rFont val="Times New Roman"/>
        <family val="1"/>
      </rPr>
      <t xml:space="preserve">       </t>
    </r>
    <r>
      <rPr>
        <sz val="8"/>
        <rFont val="Arial"/>
        <family val="2"/>
      </rPr>
      <t>Compare the results of the title deeds search to the Fixed Asset Register and the Valuation roll and adjust the FAR to reflect all land and buildings under the control of the municipality.</t>
    </r>
  </si>
  <si>
    <r>
      <t>·</t>
    </r>
    <r>
      <rPr>
        <sz val="7"/>
        <rFont val="Times New Roman"/>
        <family val="1"/>
      </rPr>
      <t xml:space="preserve">          </t>
    </r>
    <r>
      <rPr>
        <sz val="8"/>
        <color indexed="8"/>
        <rFont val="Arial"/>
        <family val="2"/>
      </rPr>
      <t>The methods and significant assumptions applied in</t>
    </r>
    <r>
      <rPr>
        <sz val="8"/>
        <rFont val="Arial"/>
        <family val="2"/>
      </rPr>
      <t xml:space="preserve"> </t>
    </r>
    <r>
      <rPr>
        <sz val="8"/>
        <color indexed="8"/>
        <rFont val="Arial"/>
        <family val="2"/>
      </rPr>
      <t>determining the fair value of investment property.</t>
    </r>
  </si>
  <si>
    <r>
      <t>4)</t>
    </r>
    <r>
      <rPr>
        <sz val="7"/>
        <rFont val="Times New Roman"/>
        <family val="1"/>
      </rPr>
      <t xml:space="preserve">       </t>
    </r>
    <r>
      <rPr>
        <sz val="8"/>
        <rFont val="Arial"/>
        <family val="2"/>
      </rPr>
      <t>Value all land and buildings, which were previously not reflected on the FAR at fair value where historical cost prices and acquisition dates are unknown.</t>
    </r>
  </si>
  <si>
    <t xml:space="preserve">  121–150 days</t>
  </si>
  <si>
    <t xml:space="preserve">  151+       days</t>
  </si>
  <si>
    <t>Services</t>
  </si>
  <si>
    <t>Total consumer debtors</t>
  </si>
  <si>
    <t xml:space="preserve">Total </t>
  </si>
  <si>
    <t>Debtors are recognised at cost as permitted in terms of gazette 30013 of 29 June 2007</t>
  </si>
  <si>
    <t>Total Other Debtors</t>
  </si>
  <si>
    <t>Other debtors are recognised at cost as permitted in terms of gazette 30013 of 29 June 2007.</t>
  </si>
  <si>
    <t>The municipality has the following bank accounts:</t>
  </si>
  <si>
    <t>The investment period should be such that it will not be necessary to borrow funds against the investments at a penalty interest rate to meet commitments.</t>
  </si>
  <si>
    <t>Leases</t>
  </si>
  <si>
    <t>Property, plant and equipment subjected to finance lease agreements are capitalised at their cost equivalent and the corresponding liabilities are raised.</t>
  </si>
  <si>
    <t xml:space="preserve">The cost of the item of property, plant and equipment is depreciated at appropriate rates on the straight-line basis over its estimated useful life.  </t>
  </si>
  <si>
    <t>Lease payments are allocated between the lease finance cost and the capital repayment using the effective interest rate method.  Lease finance costs are expensed when incurred.</t>
  </si>
  <si>
    <t>The cost of inventories comprises of all costs of purchase, costs of development, costs of conversion and other costs incurred in bringing the inventories to their present location and condition.</t>
  </si>
  <si>
    <t>Consumable stores, raw materials, work in progress, unused water, and finished goods are valued at the lower of cost and net realisable value.  In general, the basis of determining cost is the weighted average cost of commodities.</t>
  </si>
  <si>
    <t>Redundant and slow-moving stock are identified and written down with regard to their estimated economic or realisable values and sold by public auction.  Consumables are written down with regard to age, condition and utility.</t>
  </si>
  <si>
    <t>Unsold properties are valued at the lower of cost and net realisable value on a specific identification cost basis.  Direct costs are accumulated for each separately identifiable development.  Costs also include a proportion of overhead costs.</t>
  </si>
  <si>
    <t xml:space="preserve">Water and purified effluent are valued at purified cost insofar as it is stored (controlled) in reservoirs and distribution networks at year end.  </t>
  </si>
  <si>
    <t xml:space="preserve">For the 2006/2007 financial year water purification costs incurred for non-purchased water has been recognised whilst pre-purified non-purchased water was not recognised as permitted in terms of Gazette 30013 of 29 June 2007.  </t>
  </si>
  <si>
    <t>Trade creditors are recognised initially at fair value and subsequently measured at amortised cost using the effective interest method.</t>
  </si>
  <si>
    <t>Trade creditors are recognise initially at cost price as permitted in terms of Gazette 30013 of 29 June 2007.</t>
  </si>
  <si>
    <t>Revenue shall be measured at the fair value of the consideration received or receivable.  No settlement discount is applicable.</t>
  </si>
  <si>
    <t>Rendering of service</t>
  </si>
  <si>
    <t>Net cash from investment activities</t>
  </si>
  <si>
    <t>CASH FLOW FROM FINANCING ACTIVITIES</t>
  </si>
  <si>
    <t>Increase/(decrease) in long term loans</t>
  </si>
  <si>
    <t>Net cash from financing activities</t>
  </si>
  <si>
    <t>Increase/(decrease) in cash and cash equivalents</t>
  </si>
  <si>
    <t>Cash and cash equivalents at beginning of the year</t>
  </si>
  <si>
    <t>Cash and cash equivalents at end of the year</t>
  </si>
  <si>
    <t>Balance at beginning of the year</t>
  </si>
  <si>
    <t>Contributions</t>
  </si>
  <si>
    <t>Income</t>
  </si>
  <si>
    <t>RESERVES</t>
  </si>
  <si>
    <t>Expenditure</t>
  </si>
  <si>
    <t>Disposal</t>
  </si>
  <si>
    <t>Correction of error</t>
  </si>
  <si>
    <t>Government Grants Reserve (utilized)</t>
  </si>
  <si>
    <t xml:space="preserve">Donations and Public Contribution Reserve (utilized)   </t>
  </si>
  <si>
    <t>Disposals</t>
  </si>
  <si>
    <t>Other income</t>
  </si>
  <si>
    <t>ACCUMULATED SURPLUS/(DEFICIT)</t>
  </si>
  <si>
    <t>Operating surplus/(deficit) for the year</t>
  </si>
  <si>
    <t>Changes in net assets</t>
  </si>
  <si>
    <t>Accumulated surplus:  end of year</t>
  </si>
  <si>
    <t>Refer to note 29 and 36 for detail.</t>
  </si>
  <si>
    <t>LONG TERM LIABILITIES</t>
  </si>
  <si>
    <t>Annuity loans</t>
  </si>
  <si>
    <t>Sub-Total</t>
  </si>
  <si>
    <t>Less: Current portion transferred to current liabilities</t>
  </si>
  <si>
    <t>Total External Loans</t>
  </si>
  <si>
    <t>Refer to Appendix A for more detail on long term liabilities.</t>
  </si>
  <si>
    <t>See note 11 for more detail.</t>
  </si>
  <si>
    <t>Post-employment benefits</t>
  </si>
  <si>
    <t>Medical care benefits</t>
  </si>
  <si>
    <t>CONSUMER DEPOSITS</t>
  </si>
  <si>
    <t>Other</t>
  </si>
  <si>
    <t>Total consumer deposits</t>
  </si>
  <si>
    <t>GAMAP 6, 7 and 8 have been complied with to the extent that the requirements in these standards related to the municipality’s separate financial statements.</t>
  </si>
  <si>
    <t>Accounting policies for material transactions, events or conditions not covered by the above GRAP and/or GAMAP Standards have been developed in accordance with paragraphs 7, 11 and 12 of GRAP 3.  These accounting policies and the applicable disclosures have been based on the South African Statements of Generally Accepted Accounting Practices (SA GAAP) including any interpretations of such statements issued by the Accounting Practices Board.</t>
  </si>
  <si>
    <t>Fruitless and wasteful expenditure is expenditure that was made in vain and would have been avoided had reasonable care been exercised.  Fruitless and wasteful expenditure is accounted for as expenditure in the Statement of Financial Performance and where recovered, it is subsequently accounted for as revenue in the Statement of Financial Performance.</t>
  </si>
  <si>
    <t>Budgeted amounts have been included in the annual financial statements for the current financial year only.  When the presentation or classification of items in the annual financial statements is amended, prior period comparative amounts are reclassified.  The nature and reason for the reclassification is disclosed.</t>
  </si>
  <si>
    <t>Service charges relating to refuse removal are recognised on a monthly basis by applying the approved tariff to each property that has improvements.  Tariffs are determined per category of property usage and are levied monthly based on the number of refuse containers on each property, regardless of whether or not containers are emptied during the month.</t>
  </si>
  <si>
    <t>Revenue from the issuing of fines is recognised when:</t>
  </si>
  <si>
    <t>Government Grants</t>
  </si>
  <si>
    <t xml:space="preserve">Government Grants can be in the form of grants to acquire or construct fixed assets (capital grants), grants for the furtherance of national and provincial government policy objectives and general grants to subsidise the cost incurred by municipalities rendering services.  </t>
  </si>
  <si>
    <t>Capital grants and general grants for the furtherance of government policy objectives are usually restricted revenue in that stipulations are imposed in their use.</t>
  </si>
  <si>
    <t>Government grants are recognised as revenue when:</t>
  </si>
  <si>
    <t>Other grants and donations received</t>
  </si>
  <si>
    <t>Other grants and donations shall be recognised as revenue when:</t>
  </si>
  <si>
    <t>825/825/8250</t>
  </si>
  <si>
    <t>Municip</t>
  </si>
  <si>
    <t>825/825/8255</t>
  </si>
  <si>
    <t>Sy</t>
  </si>
  <si>
    <t>825/825/8260</t>
  </si>
  <si>
    <t>Capricon</t>
  </si>
  <si>
    <t>Stuwal</t>
  </si>
  <si>
    <t>825/825/8265</t>
  </si>
  <si>
    <t>sy</t>
  </si>
  <si>
    <t>825/825/8270</t>
  </si>
  <si>
    <t>Compac</t>
  </si>
  <si>
    <t>825/825/8275</t>
  </si>
  <si>
    <t>Bankfin</t>
  </si>
  <si>
    <t>825/825/8280</t>
  </si>
  <si>
    <t>825/825/8285</t>
  </si>
  <si>
    <t>LOAN</t>
  </si>
  <si>
    <t>LESLEY</t>
  </si>
  <si>
    <t>825/825/8405</t>
  </si>
  <si>
    <t>CAPRICON</t>
  </si>
  <si>
    <t>up</t>
  </si>
  <si>
    <t>825/825/8408</t>
  </si>
  <si>
    <t>825/825/8409</t>
  </si>
  <si>
    <t>Waterscheme</t>
  </si>
  <si>
    <t>Council</t>
  </si>
  <si>
    <t>General</t>
  </si>
  <si>
    <t>010/020/0001</t>
  </si>
  <si>
    <t>Res</t>
  </si>
  <si>
    <t>Properties</t>
  </si>
  <si>
    <t>010/020/0002</t>
  </si>
  <si>
    <t>Indus</t>
  </si>
  <si>
    <t>010/020/0003</t>
  </si>
  <si>
    <t>Com</t>
  </si>
  <si>
    <t>010/020/0004</t>
  </si>
  <si>
    <t>Farm</t>
  </si>
  <si>
    <t>Prop</t>
  </si>
  <si>
    <t>Agricu</t>
  </si>
  <si>
    <t>010/020/0020</t>
  </si>
  <si>
    <t>Property</t>
  </si>
  <si>
    <t>Rates</t>
  </si>
  <si>
    <t>010/020/0021</t>
  </si>
  <si>
    <t>010/020/0022</t>
  </si>
  <si>
    <t>010/041/0256</t>
  </si>
  <si>
    <t>Sundry</t>
  </si>
  <si>
    <t>010/041/0257</t>
  </si>
  <si>
    <t>010/110/9999</t>
  </si>
  <si>
    <t>AUCTION</t>
  </si>
  <si>
    <t>INCOME</t>
  </si>
  <si>
    <t>010/140/0202</t>
  </si>
  <si>
    <t>Vhembe</t>
  </si>
  <si>
    <t>agency</t>
  </si>
  <si>
    <t>fees</t>
  </si>
  <si>
    <t>010/161/1299</t>
  </si>
  <si>
    <t>Grants</t>
  </si>
  <si>
    <t>&amp;</t>
  </si>
  <si>
    <t>subsidies</t>
  </si>
  <si>
    <t>010/170/0203</t>
  </si>
  <si>
    <t>Transfer</t>
  </si>
  <si>
    <t>from</t>
  </si>
  <si>
    <t>Enti</t>
  </si>
  <si>
    <t>010/300/1017</t>
  </si>
  <si>
    <t>Contract</t>
  </si>
  <si>
    <t>staff</t>
  </si>
  <si>
    <t>pay</t>
  </si>
  <si>
    <t>010/300/1018</t>
  </si>
  <si>
    <t>010/310/1023</t>
  </si>
  <si>
    <t>Contribution</t>
  </si>
  <si>
    <t>Uif</t>
  </si>
  <si>
    <t>010/310/1025</t>
  </si>
  <si>
    <t>Con</t>
  </si>
  <si>
    <t>Medical</t>
  </si>
  <si>
    <t>Aid</t>
  </si>
  <si>
    <t>010/310/1027</t>
  </si>
  <si>
    <t>Workers</t>
  </si>
  <si>
    <t>Comp</t>
  </si>
  <si>
    <t>010/310/1029</t>
  </si>
  <si>
    <t>Bargainin</t>
  </si>
  <si>
    <t>010/310/8220</t>
  </si>
  <si>
    <t>010/340/1051</t>
  </si>
  <si>
    <t>Allowance</t>
  </si>
  <si>
    <t>Mayor</t>
  </si>
  <si>
    <t>010/340/1054</t>
  </si>
  <si>
    <t>010/340/1057</t>
  </si>
  <si>
    <t>Allow</t>
  </si>
  <si>
    <t>Tr</t>
  </si>
  <si>
    <t>010/340/1058</t>
  </si>
  <si>
    <t>Fa</t>
  </si>
  <si>
    <t>010/340/1062</t>
  </si>
  <si>
    <t>Ot</t>
  </si>
  <si>
    <t>010/340/1064</t>
  </si>
  <si>
    <t>Cont</t>
  </si>
  <si>
    <t>P</t>
  </si>
  <si>
    <t>010/370/1071</t>
  </si>
  <si>
    <t>Provision</t>
  </si>
  <si>
    <t>for</t>
  </si>
  <si>
    <t>depr</t>
  </si>
  <si>
    <t>010/380/1102</t>
  </si>
  <si>
    <t>Impleme</t>
  </si>
  <si>
    <t>010/380/1111</t>
  </si>
  <si>
    <t>Machinery</t>
  </si>
  <si>
    <t>Equipm</t>
  </si>
  <si>
    <t>010/390/1231</t>
  </si>
  <si>
    <t>External</t>
  </si>
  <si>
    <t>010/400/1241</t>
  </si>
  <si>
    <t>Externa</t>
  </si>
  <si>
    <t>010/440/1263</t>
  </si>
  <si>
    <t>Contracted</t>
  </si>
  <si>
    <t>Service</t>
  </si>
  <si>
    <t>010/440/1284</t>
  </si>
  <si>
    <t>Internal</t>
  </si>
  <si>
    <t>Study</t>
  </si>
  <si>
    <t>Don</t>
  </si>
  <si>
    <t>010/440/1285</t>
  </si>
  <si>
    <t>Grant</t>
  </si>
  <si>
    <t>Spec</t>
  </si>
  <si>
    <t>010/440/1286</t>
  </si>
  <si>
    <t>Burs</t>
  </si>
  <si>
    <t>010/440/1287</t>
  </si>
  <si>
    <t>Mayoral</t>
  </si>
  <si>
    <t>010/440/1301</t>
  </si>
  <si>
    <t>Advertising</t>
  </si>
  <si>
    <t>Gene</t>
  </si>
  <si>
    <t>010/440/1308</t>
  </si>
  <si>
    <t>Conference</t>
  </si>
  <si>
    <t>Conve</t>
  </si>
  <si>
    <t>010/440/1310</t>
  </si>
  <si>
    <t>Community</t>
  </si>
  <si>
    <t>liason</t>
  </si>
  <si>
    <t>a</t>
  </si>
  <si>
    <t>010/440/1311</t>
  </si>
  <si>
    <t>Consumable</t>
  </si>
  <si>
    <t>Domesti</t>
  </si>
  <si>
    <t>010/440/1320</t>
  </si>
  <si>
    <t>Entertain</t>
  </si>
  <si>
    <t>Execut</t>
  </si>
  <si>
    <t>010/440/1322</t>
  </si>
  <si>
    <t>Entertainment</t>
  </si>
  <si>
    <t>Pu</t>
  </si>
  <si>
    <t>010/440/1325</t>
  </si>
  <si>
    <t>Fuel</t>
  </si>
  <si>
    <t>010/440/1335</t>
  </si>
  <si>
    <t>License</t>
  </si>
  <si>
    <t>Registra</t>
  </si>
  <si>
    <t>010/440/1340</t>
  </si>
  <si>
    <t>Member</t>
  </si>
  <si>
    <t>Fees</t>
  </si>
  <si>
    <t>Othe</t>
  </si>
  <si>
    <t>010/440/1341</t>
  </si>
  <si>
    <t>Membership</t>
  </si>
  <si>
    <t>010/440/1345</t>
  </si>
  <si>
    <t>Removal</t>
  </si>
  <si>
    <t>010/440/1347</t>
  </si>
  <si>
    <t>Postage</t>
  </si>
  <si>
    <t>Courier</t>
  </si>
  <si>
    <t>010/440/1348</t>
  </si>
  <si>
    <t>Printing</t>
  </si>
  <si>
    <t>Station</t>
  </si>
  <si>
    <t>010/440/1364</t>
  </si>
  <si>
    <t>Limpopo valley tourism</t>
  </si>
  <si>
    <t>9515</t>
  </si>
  <si>
    <t>9516</t>
  </si>
  <si>
    <t>debtors????</t>
  </si>
  <si>
    <t>9517</t>
  </si>
  <si>
    <t>942</t>
  </si>
  <si>
    <t>9510</t>
  </si>
  <si>
    <t>Eclipse infrastructure</t>
  </si>
  <si>
    <t>9603</t>
  </si>
  <si>
    <t>BANK</t>
  </si>
  <si>
    <t>999</t>
  </si>
  <si>
    <t>9999</t>
  </si>
  <si>
    <t>Control account</t>
  </si>
  <si>
    <t>CONTROL ACCOUNT</t>
  </si>
  <si>
    <t>BANKFIN</t>
  </si>
  <si>
    <t>FINAL CLOSING BALANCES FOR 07/08</t>
  </si>
  <si>
    <t>Musina Ext 12</t>
  </si>
  <si>
    <t>DBSA - Civic centre phase 1(a)</t>
  </si>
  <si>
    <t>DBSA - Civic centre phase 2</t>
  </si>
  <si>
    <t>Auction income sale of stands</t>
  </si>
  <si>
    <t>Lotto Lesley Manyatela</t>
  </si>
  <si>
    <t>Poster and Hall</t>
  </si>
  <si>
    <t>Lotto Sport equipment</t>
  </si>
  <si>
    <t>Pro rata bonusses</t>
  </si>
  <si>
    <t>Retention Solid Waste</t>
  </si>
  <si>
    <t>Renevation of Community Hall</t>
  </si>
  <si>
    <t>Stormwater Madimbo</t>
  </si>
  <si>
    <t>Dormant account FNB / Standard Bank</t>
  </si>
  <si>
    <t>Accumulated Depretiation Infrastructure Assets</t>
  </si>
  <si>
    <t>Accumulated Depretiation Community Assets</t>
  </si>
  <si>
    <t>Accumulated Depretiation Other Assets</t>
  </si>
  <si>
    <t>Leave</t>
  </si>
  <si>
    <t>CAPRICORN DM</t>
  </si>
  <si>
    <t>Bulk purchases</t>
  </si>
  <si>
    <t>Contributions to provisions</t>
  </si>
  <si>
    <t>Subtotal</t>
  </si>
  <si>
    <t>2006/2007</t>
  </si>
  <si>
    <t>2005/2006</t>
  </si>
  <si>
    <t>Current assets</t>
  </si>
  <si>
    <t>Current liabilities</t>
  </si>
  <si>
    <t>Net operating capital</t>
  </si>
  <si>
    <t>Total assets</t>
  </si>
  <si>
    <t>Total liabilities</t>
  </si>
  <si>
    <t>NET ASSETS &amp; LIABILITIES</t>
  </si>
  <si>
    <t>Net Assets</t>
  </si>
  <si>
    <t>Capital replacement reserve</t>
  </si>
  <si>
    <t>Government grant reserve</t>
  </si>
  <si>
    <t>Donations and public contribution reserves</t>
  </si>
  <si>
    <t>Accumulated surplus/(deficit)</t>
  </si>
  <si>
    <t>Non-current liabilities</t>
  </si>
  <si>
    <t>Long-term liabilities</t>
  </si>
  <si>
    <t>Post employment benefits</t>
  </si>
  <si>
    <t>Consumer deposits</t>
  </si>
  <si>
    <t>Provisions</t>
  </si>
  <si>
    <t>Unspent conditional grants and receipts</t>
  </si>
  <si>
    <t xml:space="preserve">Councillor E Shirelele Account 10377  </t>
  </si>
  <si>
    <t>Appropriation</t>
  </si>
  <si>
    <t>Cheque number</t>
  </si>
  <si>
    <t>Specific artist wanted</t>
  </si>
  <si>
    <t>Emergency breakdown of printer to print</t>
  </si>
  <si>
    <t>Specific artists wanted</t>
  </si>
  <si>
    <t>Only provider available</t>
  </si>
  <si>
    <t>Urgent repairs Aircornditioner</t>
  </si>
  <si>
    <t>Sole provider</t>
  </si>
  <si>
    <t>Only supplier available</t>
  </si>
  <si>
    <t>Sole supplier specific artist wanted</t>
  </si>
  <si>
    <t>Occupatioal Health serv rendered</t>
  </si>
  <si>
    <t>Investments which include listed government bonds, unlisted municipal bonds, fixed deposits and short term deposits invested in registered banks are stated at cost.</t>
  </si>
  <si>
    <t>Surplus funds are invested in terms of Council’s Investment Policy.  Investments are only made with financial institutions registered in terms of the Deposit Taking Institutions Act of 1990 with an A1 or similar rating institution for safe investment purposes.</t>
  </si>
  <si>
    <t>Libraries &amp; Archives</t>
  </si>
  <si>
    <t>Cemeteries &amp; Crematoriums</t>
  </si>
  <si>
    <t>Sport &amp; Recreation</t>
  </si>
  <si>
    <t>Solid Waste</t>
  </si>
  <si>
    <t>Water Storage</t>
  </si>
  <si>
    <t>APPENDIX G</t>
  </si>
  <si>
    <t>DEVIATION FROM PROCUREMENT PROCESSES</t>
  </si>
  <si>
    <t>Supply Chain Regulation 36(2)</t>
  </si>
  <si>
    <t>Town Engineer</t>
  </si>
  <si>
    <t>Sole provider.</t>
  </si>
  <si>
    <t>Emergency.</t>
  </si>
  <si>
    <t>Solid Waste Disposal</t>
  </si>
  <si>
    <t>Solly's Delta</t>
  </si>
  <si>
    <t>081/440/1327</t>
  </si>
  <si>
    <t>081/440/1335</t>
  </si>
  <si>
    <t>081/440/1348</t>
  </si>
  <si>
    <t>081/440/1350</t>
  </si>
  <si>
    <t>081/440/1364</t>
  </si>
  <si>
    <t>081/440/1366</t>
  </si>
  <si>
    <t>081/440/1367</t>
  </si>
  <si>
    <t>081/762/1032</t>
  </si>
  <si>
    <t>Low</t>
  </si>
  <si>
    <t>082/161/1298</t>
  </si>
  <si>
    <t>Hall</t>
  </si>
  <si>
    <t>082/161/1299</t>
  </si>
  <si>
    <t>(new</t>
  </si>
  <si>
    <t>National Electricity Programme</t>
  </si>
  <si>
    <t xml:space="preserve">Nkangala District Municipality </t>
  </si>
  <si>
    <t>All amounts in this sheet are linked to the other notes!</t>
  </si>
  <si>
    <t>Budget amounts were captured</t>
  </si>
  <si>
    <t>STATEMENT OF FINANCIAL POSITION</t>
  </si>
  <si>
    <t>Operating capital ratio</t>
  </si>
  <si>
    <t>Solvability ratio</t>
  </si>
  <si>
    <t>2.</t>
  </si>
  <si>
    <t>3.</t>
  </si>
  <si>
    <t>4.</t>
  </si>
  <si>
    <t>5.</t>
  </si>
  <si>
    <t>6.</t>
  </si>
  <si>
    <t>7.</t>
  </si>
  <si>
    <t>8.</t>
  </si>
  <si>
    <t>9.</t>
  </si>
  <si>
    <t>12.</t>
  </si>
  <si>
    <t>13.</t>
  </si>
  <si>
    <t>14.</t>
  </si>
  <si>
    <t>15.</t>
  </si>
  <si>
    <t>16.</t>
  </si>
  <si>
    <t>20.</t>
  </si>
  <si>
    <t>21.</t>
  </si>
  <si>
    <t>22.</t>
  </si>
  <si>
    <t>23.</t>
  </si>
  <si>
    <t>24.</t>
  </si>
  <si>
    <t>25.</t>
  </si>
  <si>
    <t>26.</t>
  </si>
  <si>
    <t>27.</t>
  </si>
  <si>
    <t>28.</t>
  </si>
  <si>
    <t>29.</t>
  </si>
  <si>
    <t>30.</t>
  </si>
  <si>
    <t>31.</t>
  </si>
  <si>
    <t>32.</t>
  </si>
  <si>
    <t>33.</t>
  </si>
  <si>
    <t>34.</t>
  </si>
  <si>
    <t>35.</t>
  </si>
  <si>
    <t>38.</t>
  </si>
  <si>
    <t>CONTINGENT ASSETS</t>
  </si>
  <si>
    <t>Budget</t>
  </si>
  <si>
    <t>Electricity Charges</t>
  </si>
  <si>
    <t>Refuse Charges</t>
  </si>
  <si>
    <t>Sereage Charges</t>
  </si>
  <si>
    <t>Community services</t>
  </si>
  <si>
    <t>Afriq designer Furniture</t>
  </si>
  <si>
    <t>Build in Cupboard</t>
  </si>
  <si>
    <t>Static electrical service</t>
  </si>
  <si>
    <t>Urgents repairs - sole provider</t>
  </si>
  <si>
    <t>Forever Resorts - Tshipise</t>
  </si>
  <si>
    <t>Catering for Youth Mining Indaba</t>
  </si>
  <si>
    <t>Colour in Balance</t>
  </si>
  <si>
    <t>Kwotasies???</t>
  </si>
  <si>
    <t>Skryfmop net 1 het gereageer</t>
  </si>
  <si>
    <t>N.T.K</t>
  </si>
  <si>
    <t>Sole provider - Fiat Agent</t>
  </si>
  <si>
    <t>Boeties Visser Groep</t>
  </si>
  <si>
    <t>M.L Moraba</t>
  </si>
  <si>
    <t>Technical Services</t>
  </si>
  <si>
    <t>B &amp; B Truck &amp; Tractor</t>
  </si>
  <si>
    <t>Nissan Agent</t>
  </si>
  <si>
    <t>G.T.E Tyre Centre</t>
  </si>
  <si>
    <t>Leach Printers &amp; Signs</t>
  </si>
  <si>
    <t>Mayors Office</t>
  </si>
  <si>
    <t>T.C. Verkoeling</t>
  </si>
  <si>
    <t>Orbit Computer services</t>
  </si>
  <si>
    <t>Repair on laptop (Data recover)</t>
  </si>
  <si>
    <t>Council General Expence</t>
  </si>
  <si>
    <t>Othilia services and suppliers</t>
  </si>
  <si>
    <t>Mercurius Motors</t>
  </si>
  <si>
    <t>Atlas Cable Suppliers</t>
  </si>
  <si>
    <t>???</t>
  </si>
  <si>
    <t>Pietersburg Locksmith</t>
  </si>
  <si>
    <t>Coverseal Library suppliers</t>
  </si>
  <si>
    <t>sole provider</t>
  </si>
  <si>
    <t>Ratho Boerdery</t>
  </si>
  <si>
    <t>Limpopo Vervoer</t>
  </si>
  <si>
    <t>Moletjetja Trading</t>
  </si>
  <si>
    <t>P.J. Mphelo</t>
  </si>
  <si>
    <t>Scrapprap</t>
  </si>
  <si>
    <t>Complete Exhibitions CC</t>
  </si>
  <si>
    <t>Staplex 529 CC</t>
  </si>
  <si>
    <t>SF Health Management</t>
  </si>
  <si>
    <t>Musina Multi services</t>
  </si>
  <si>
    <t>Jenita's Tent for hire</t>
  </si>
  <si>
    <t>Bad Debts</t>
  </si>
  <si>
    <t>Lease Liability</t>
  </si>
  <si>
    <t>Net deficit for the year</t>
  </si>
  <si>
    <r>
      <t>(c)</t>
    </r>
    <r>
      <rPr>
        <sz val="7"/>
        <rFont val="Times New Roman"/>
        <family val="1"/>
      </rPr>
      <t xml:space="preserve">     </t>
    </r>
    <r>
      <rPr>
        <sz val="8"/>
        <rFont val="Arial"/>
        <family val="2"/>
      </rPr>
      <t xml:space="preserve">The gross carrying amount and any accumulated amortisation (aggregated with accumulated impairment losses) at the beginning and end of the period; </t>
    </r>
  </si>
  <si>
    <r>
      <t>(d)</t>
    </r>
    <r>
      <rPr>
        <sz val="7"/>
        <rFont val="Times New Roman"/>
        <family val="1"/>
      </rPr>
      <t xml:space="preserve">     </t>
    </r>
    <r>
      <rPr>
        <sz val="8"/>
        <rFont val="Arial"/>
        <family val="2"/>
      </rPr>
      <t xml:space="preserve">The line item(s) of the Statement of Financial Performance in which any amortisation of intangible assets is included; </t>
    </r>
  </si>
  <si>
    <r>
      <t>(e)</t>
    </r>
    <r>
      <rPr>
        <sz val="7"/>
        <rFont val="Times New Roman"/>
        <family val="1"/>
      </rPr>
      <t xml:space="preserve">     </t>
    </r>
    <r>
      <rPr>
        <sz val="8"/>
        <rFont val="Arial"/>
        <family val="2"/>
      </rPr>
      <t xml:space="preserve">A reconciliation of the carrying amount at the beginning and end of the period showing: </t>
    </r>
  </si>
  <si>
    <t xml:space="preserve">The municipality has taken advantage of the exemptions as per gazette 30013 of 29 June 2007.  The municipality is still in a process of identifying investment property which is currently part of PPE.  These items will be transferred once they have been identified in terms of the definition IAS 40 (AC 135).  See also note 10. </t>
  </si>
  <si>
    <t>APPENDIX A</t>
  </si>
  <si>
    <t>SHEDULE OF EXTERNAL LOANS</t>
  </si>
  <si>
    <t>Redeemed or written off during the period</t>
  </si>
  <si>
    <t>ANNUITY LOANS</t>
  </si>
  <si>
    <t>DBSA</t>
  </si>
  <si>
    <t>-</t>
  </si>
  <si>
    <t>INCA</t>
  </si>
  <si>
    <t>Total Annuity Loans</t>
  </si>
  <si>
    <t>@</t>
  </si>
  <si>
    <t>External Loans</t>
  </si>
  <si>
    <t>Loan No.</t>
  </si>
  <si>
    <t>Redeemable</t>
  </si>
  <si>
    <t xml:space="preserve"> Interest paid during the period</t>
  </si>
  <si>
    <t>Received during the period</t>
  </si>
  <si>
    <t>APPENDIX B</t>
  </si>
  <si>
    <t>ANALYSIS OF PROPERTY, PLANT &amp; EQUIPMENT</t>
  </si>
  <si>
    <t>HISTORICAL COST</t>
  </si>
  <si>
    <t>ACCUMULATED DEPRECIATION</t>
  </si>
  <si>
    <t xml:space="preserve">                  Opening Balance</t>
  </si>
  <si>
    <t xml:space="preserve">          Additions/ Transfers</t>
  </si>
  <si>
    <t xml:space="preserve">                   Under Construction</t>
  </si>
  <si>
    <t xml:space="preserve">              Closing Balance</t>
  </si>
  <si>
    <t xml:space="preserve">                Opening Balance</t>
  </si>
  <si>
    <t xml:space="preserve">            Additions/ Transfers</t>
  </si>
  <si>
    <t xml:space="preserve">             Carrying Value</t>
  </si>
  <si>
    <t>Budget Additions 2007</t>
  </si>
  <si>
    <t>INFRASTRUCTURE</t>
  </si>
  <si>
    <t>Roads, pavements, bridges &amp; stormwater</t>
  </si>
  <si>
    <t>Water reservoirs &amp; reticulation</t>
  </si>
  <si>
    <t>Car parks, bus terminals &amp; taxi ranks</t>
  </si>
  <si>
    <t>Electricity reticulation</t>
  </si>
  <si>
    <t>Sewerage purification &amp; reticulation</t>
  </si>
  <si>
    <t>Housing</t>
  </si>
  <si>
    <t>Street lighting</t>
  </si>
  <si>
    <t>Refuse sites</t>
  </si>
  <si>
    <t>Other (town planning &amp; development</t>
  </si>
  <si>
    <t>COMMUNITY ASSETS</t>
  </si>
  <si>
    <t>Libraries</t>
  </si>
  <si>
    <t>Clinics</t>
  </si>
  <si>
    <t>The favourable budget deviation can amongst others be attributed to the following factors:</t>
  </si>
  <si>
    <t>Favourable deviation Revenue</t>
  </si>
  <si>
    <t>Service Charges</t>
  </si>
  <si>
    <t>Favourable deviation Expenditure</t>
  </si>
  <si>
    <t>Employee related costs</t>
  </si>
  <si>
    <t>General expenditure</t>
  </si>
  <si>
    <t>Where items of property, plant and equipment have been impaired, the carrying value is adjusted by the impairment loss, which is recognised as an expense in the period that the impairment is identified, except where the impairment reverses a previous revaluation.</t>
  </si>
  <si>
    <t>Where the carrying amount of an item of property, plant and equipment is larger than the estimated recoverable amount, it is written down immediately to its recoverable amount and an impairment loss is charged to the Statement of Financial Performance.</t>
  </si>
  <si>
    <t>Where items of property, plant and equipment have been impaired, the carrying value is adjusted by the impairment loss, which is recognised as an expense in the period that the impairment is identified.</t>
  </si>
  <si>
    <t>The testing for and impairing of any items of property, plant and equipment were not accounted for as permitted in terms of Gazette 30013 of 29 June 2007</t>
  </si>
  <si>
    <t>Heritage assets</t>
  </si>
  <si>
    <t>These are assets that are defined as culturally significant resources and are not depreciated as they are regarded as having an infinite life.  However, if improvements to heritage assets are conducted and registered as sub-assets and the useful life of the improvements can be determined, the depreciation charge of the relevant property, plant and equipment category is used for the depreciation of the sub-asset which was capitalised against the heritage asset.</t>
  </si>
  <si>
    <t>Disposal of property, plant and equipment</t>
  </si>
  <si>
    <t>Property Rates</t>
  </si>
  <si>
    <t xml:space="preserve">  Current (0-30 days)</t>
  </si>
  <si>
    <t xml:space="preserve">  31–60     days</t>
  </si>
  <si>
    <t xml:space="preserve">  61–90     days</t>
  </si>
  <si>
    <t xml:space="preserve">  91–120   days</t>
  </si>
  <si>
    <t xml:space="preserve">The purpose of this Reserve is to promote consumer equity by ensuring that the future depreciation expenses that will be incurred over the useful lives of these items of property, plant and equipment are offset by transfers from the Capitalisation Reserve to the accumulated surplus/(deficit).  </t>
  </si>
  <si>
    <t>The balance on the Capitalisation Reserve equals the carrying value of the items of property, plant and equipment financed from the former legislated funds.  When items of property, plant and equipment are depreciated, a transfer is made from the Capitalisation Reserve to the accumulated surplus/(deficit).</t>
  </si>
  <si>
    <t>When an item of property, plant and equipment is disposed of, the balance in the Capitalisation Reserve relating to such item is transferred to the accumulated surplus/(deficit).</t>
  </si>
  <si>
    <t>Where items of intangible assets have been impaired, the carrying value is adjusted by the impairment loss, which is recognised as an expense in the period that the impairment is identified except where the impairment reverses a previous revaluation.</t>
  </si>
  <si>
    <t>The estimated useful life and amortisation methods are reviewed annually at the end of the financial year.  Any adjustments arising from the annual review are applied prospectively.</t>
  </si>
  <si>
    <t>Accounting policy for the 2006/2007 financial year</t>
  </si>
  <si>
    <t>Intangible assets are recognised at cost.  Cost is defined as the amount of cash or cash equivalents paid or the fair value of the other considerations given to acquire the asset at the time of its acquisition or construction.  Only cost incurred on computer software and websites that meet the definition of an intangible asset are recognised as permitted in terms of Gazette 30013 of 29 June 2007.  All other cost incurred on intangible assets during the exemption period has been expensed.</t>
  </si>
  <si>
    <t>Investment property as property (land or a building or part of a building or both) held to earn rentals or capital appreciation is stated at cost.  Where an investment property is acquired at no cost, or for a nominal cost, its cost is recognised at its fair value as at the date of acquisition.</t>
  </si>
  <si>
    <t xml:space="preserve">Depreciation is calculated on cost, using the straight-line method over the useful life of the property.  </t>
  </si>
  <si>
    <t>Trade Creditors</t>
  </si>
  <si>
    <t>Amounts received in advance:</t>
  </si>
  <si>
    <t>Sundry debtors</t>
  </si>
  <si>
    <t>VAT</t>
  </si>
  <si>
    <t>RDP development</t>
  </si>
  <si>
    <t>Retention money</t>
  </si>
  <si>
    <t>Total creditors</t>
  </si>
  <si>
    <t>Creditors are recognised at cost and no interest was recognised as a result of any time value of money adjustments as permitted per gazette 30013 of 29 June 2007</t>
  </si>
  <si>
    <t>Local government transitional grant</t>
  </si>
  <si>
    <t>Municipal infrastructure grant</t>
  </si>
  <si>
    <t>Integrated national electricity programme</t>
  </si>
  <si>
    <t>Total conditional grants and receipts</t>
  </si>
  <si>
    <t>See note 19 for reconciliation of grants.  These amounts are invested until utilised.</t>
  </si>
  <si>
    <t>Carrying values at 1 July 2006</t>
  </si>
  <si>
    <t>Cost</t>
  </si>
  <si>
    <t>Accumulated depreciation – cost</t>
  </si>
  <si>
    <t>Acquisitions</t>
  </si>
  <si>
    <t>Carrying values at 30 June 2007</t>
  </si>
  <si>
    <t>PROPERTY, PLANT &amp; EQUIPMENT</t>
  </si>
  <si>
    <t>Reconciliation of Carrying Value</t>
  </si>
  <si>
    <t>After initial recognition, an intangible asset is carried at its cost less any accumulated impairment losses and amortisation.  Amortisation is charged on a straight-line basis over their useful life which is estimated to be between 3 and 5 years.  The useful life of an intangible asset is the period over which that asset is expected to be available for use of by the municipality.  Where intangible assets are deemed to have an indefinite useful life, such intangible assets are not amortised, but are tested for impairment annually and impaired if necessary.</t>
  </si>
  <si>
    <t>Cash generated from / (utilized in) operations</t>
  </si>
  <si>
    <t>Interest received</t>
  </si>
  <si>
    <t>Net cash from operating activities</t>
  </si>
  <si>
    <t>CASH FLOW FROM INVESTMENT ACTIVITIES</t>
  </si>
  <si>
    <t>Purchase of property, plant and equipment</t>
  </si>
  <si>
    <t>Proceeds on disposal of property, plant and equipment</t>
  </si>
  <si>
    <t xml:space="preserve">Recreation facilities                                                                                                      </t>
  </si>
  <si>
    <t xml:space="preserve">Clinics                                                                                                                          </t>
  </si>
  <si>
    <t xml:space="preserve">Fire services                                                                                                                 </t>
  </si>
  <si>
    <t xml:space="preserve">Cemeteries                                                                                                                   </t>
  </si>
  <si>
    <t xml:space="preserve">Motor vehicles                                                                                                              </t>
  </si>
  <si>
    <t xml:space="preserve">Plant and equipment                                                                                                     </t>
  </si>
  <si>
    <t xml:space="preserve">Security measures                                                                                                     </t>
  </si>
  <si>
    <t xml:space="preserve">Buildings                                                                                                                      </t>
  </si>
  <si>
    <t xml:space="preserve">IT equipment                                                                                                                </t>
  </si>
  <si>
    <t xml:space="preserve">Office equipment                                                                                                          </t>
  </si>
  <si>
    <t>Accounts receivable</t>
  </si>
  <si>
    <t>A provision for impairment is established when there is objective evidence that the municipality will not be able to collect all amounts due according to the original terms of receivables.</t>
  </si>
  <si>
    <t>Bad debts are written off during the year in which they are identified as irrecoverable.</t>
  </si>
  <si>
    <t>Financial liabilities</t>
  </si>
  <si>
    <t>920</t>
  </si>
  <si>
    <t>940</t>
  </si>
  <si>
    <t>960</t>
  </si>
  <si>
    <t>ACCOUNT NO.</t>
  </si>
  <si>
    <t>DESCRIPTION</t>
  </si>
  <si>
    <t>CLOSING BAL 06/07</t>
  </si>
  <si>
    <t>boekjaar</t>
  </si>
  <si>
    <t>seksie</t>
  </si>
  <si>
    <t>No interest is paid on deposits.</t>
  </si>
  <si>
    <t>Guarantees held in lieu of electricity and water deposits</t>
  </si>
  <si>
    <t>PROVISIONS</t>
  </si>
  <si>
    <t>Balance at beginning of year</t>
  </si>
  <si>
    <t>Contribution to provision</t>
  </si>
  <si>
    <t>Expenditure incurred</t>
  </si>
  <si>
    <t>safety</t>
  </si>
  <si>
    <t>campai</t>
  </si>
  <si>
    <t>100/440/1397</t>
  </si>
  <si>
    <t>reduct</t>
  </si>
  <si>
    <t>100/440/1399</t>
  </si>
  <si>
    <t>Street</t>
  </si>
  <si>
    <t>names</t>
  </si>
  <si>
    <t>Na</t>
  </si>
  <si>
    <t>100/761/7607</t>
  </si>
  <si>
    <t>Painting</t>
  </si>
  <si>
    <t>Machine</t>
  </si>
  <si>
    <t>100/762/7608</t>
  </si>
  <si>
    <t>100/763/7609</t>
  </si>
  <si>
    <t>VHEMBE</t>
  </si>
  <si>
    <t>110/040/0061</t>
  </si>
  <si>
    <t>Sew</t>
  </si>
  <si>
    <t>110/380/1111</t>
  </si>
  <si>
    <t>110/380/1130</t>
  </si>
  <si>
    <t>110/380/1215</t>
  </si>
  <si>
    <t>110/380/1220</t>
  </si>
  <si>
    <t>110/440/1308</t>
  </si>
  <si>
    <t>110/440/1311</t>
  </si>
  <si>
    <t>110/440/1325</t>
  </si>
  <si>
    <t>110/440/1327</t>
  </si>
  <si>
    <t>110/440/1335</t>
  </si>
  <si>
    <t>110/440/1340</t>
  </si>
  <si>
    <t>Sampling</t>
  </si>
  <si>
    <t>110/440/1348</t>
  </si>
  <si>
    <t>110/440/1350</t>
  </si>
  <si>
    <t>110/440/1366</t>
  </si>
  <si>
    <t>110/440/1367</t>
  </si>
  <si>
    <t>acc-no</t>
  </si>
  <si>
    <t>eindsaldo</t>
  </si>
  <si>
    <t>dt-kt-ind</t>
  </si>
  <si>
    <t>l1-no</t>
  </si>
  <si>
    <t>500</t>
  </si>
  <si>
    <t>/</t>
  </si>
  <si>
    <t>5000</t>
  </si>
  <si>
    <t>D</t>
  </si>
  <si>
    <t>stat funds</t>
  </si>
  <si>
    <t>5004</t>
  </si>
  <si>
    <t>SECTION TOTAL:</t>
  </si>
  <si>
    <t>FUNDS</t>
  </si>
  <si>
    <t>510</t>
  </si>
  <si>
    <t>5207</t>
  </si>
  <si>
    <t>Insurance fund</t>
  </si>
  <si>
    <t>FUNDS OTHER</t>
  </si>
  <si>
    <t>GROUP TOTAL:</t>
  </si>
  <si>
    <t>520</t>
  </si>
  <si>
    <t>5206</t>
  </si>
  <si>
    <t>Infrastructure Development</t>
  </si>
  <si>
    <t>reserves</t>
  </si>
  <si>
    <t>5216</t>
  </si>
  <si>
    <t>Leave reserve</t>
  </si>
  <si>
    <t>provisions</t>
  </si>
  <si>
    <t>5217</t>
  </si>
  <si>
    <t>Municipal gholfday</t>
  </si>
  <si>
    <t>5220</t>
  </si>
  <si>
    <t>Unutilised capital receipts</t>
  </si>
  <si>
    <t>5221</t>
  </si>
  <si>
    <t>5406</t>
  </si>
  <si>
    <t>Study loans</t>
  </si>
  <si>
    <t>5410</t>
  </si>
  <si>
    <t>IEC votes education</t>
  </si>
  <si>
    <t>540</t>
  </si>
  <si>
    <t>5401</t>
  </si>
  <si>
    <t>Provision bad debts</t>
  </si>
  <si>
    <t>prov bad debt</t>
  </si>
  <si>
    <t>PROVISIONS AND RESERVES</t>
  </si>
  <si>
    <t>5400</t>
  </si>
  <si>
    <t>Provision : audit fees</t>
  </si>
  <si>
    <t>560</t>
  </si>
  <si>
    <t>5600</t>
  </si>
  <si>
    <t>Accumulated deficit/surplus</t>
  </si>
  <si>
    <t>5602</t>
  </si>
  <si>
    <t>Income &amp; Exp appropriation</t>
  </si>
  <si>
    <t>Accumulated deficit / retained surplus</t>
  </si>
  <si>
    <t>ACCUMULATED DEFICIT/RETAINED SURPLUS</t>
  </si>
  <si>
    <t>580</t>
  </si>
  <si>
    <t>5801</t>
  </si>
  <si>
    <t>Town development fund</t>
  </si>
  <si>
    <t>TRUST FUNDS</t>
  </si>
  <si>
    <t>581</t>
  </si>
  <si>
    <t>5811</t>
  </si>
  <si>
    <t>Town layout awaiting Mnsa</t>
  </si>
  <si>
    <t>5812</t>
  </si>
  <si>
    <t>5813</t>
  </si>
  <si>
    <t>5814</t>
  </si>
  <si>
    <t>5815</t>
  </si>
  <si>
    <t>5816</t>
  </si>
  <si>
    <t>5817</t>
  </si>
  <si>
    <t>5818</t>
  </si>
  <si>
    <t>5819</t>
  </si>
  <si>
    <t>Msna mine work place x 9</t>
  </si>
  <si>
    <t>5820</t>
  </si>
  <si>
    <t>5821</t>
  </si>
  <si>
    <t>5822</t>
  </si>
  <si>
    <t>5823</t>
  </si>
  <si>
    <t>5824</t>
  </si>
  <si>
    <t>5825</t>
  </si>
  <si>
    <t>5827</t>
  </si>
  <si>
    <t>Nancefield</t>
  </si>
  <si>
    <t>5828</t>
  </si>
  <si>
    <t>Mess Nance dorpsgebied</t>
  </si>
  <si>
    <t>5829</t>
  </si>
  <si>
    <t>Messina 4 MT</t>
  </si>
  <si>
    <t>5830</t>
  </si>
  <si>
    <t>Nancefield x 2</t>
  </si>
  <si>
    <t>5831</t>
  </si>
  <si>
    <t>Musina Ext 13</t>
  </si>
  <si>
    <t>5832</t>
  </si>
  <si>
    <t>Musina Ext 15</t>
  </si>
  <si>
    <t>5833</t>
  </si>
  <si>
    <t>Musina Ext 17</t>
  </si>
  <si>
    <t>5834</t>
  </si>
  <si>
    <t>Musina Ext 18</t>
  </si>
  <si>
    <t>5835</t>
  </si>
  <si>
    <t>Musina Ext 19</t>
  </si>
  <si>
    <t>5836</t>
  </si>
  <si>
    <t>Musina Ext 7</t>
  </si>
  <si>
    <t>5837</t>
  </si>
  <si>
    <t>Musina Ext 14</t>
  </si>
  <si>
    <t>5838</t>
  </si>
  <si>
    <t>Nancefield Ext 10</t>
  </si>
  <si>
    <t>Musina Ext 16</t>
  </si>
  <si>
    <t>5840</t>
  </si>
  <si>
    <t>Contribution town layout</t>
  </si>
  <si>
    <t>TRUST FUND : TOWN LAYOUT</t>
  </si>
  <si>
    <t>600</t>
  </si>
  <si>
    <t>6012</t>
  </si>
  <si>
    <t>Loans Local Government N/M</t>
  </si>
  <si>
    <t>loans</t>
  </si>
  <si>
    <t>6013</t>
  </si>
  <si>
    <t>Loans Local Government Sew</t>
  </si>
  <si>
    <t>6016</t>
  </si>
  <si>
    <t>Loans Stuwal</t>
  </si>
  <si>
    <t>6017</t>
  </si>
  <si>
    <t>Loans Sewerage system</t>
  </si>
  <si>
    <t>6019</t>
  </si>
  <si>
    <t>Loans work test centre</t>
  </si>
  <si>
    <t>6020</t>
  </si>
  <si>
    <t>Loan DBSA - Compactor</t>
  </si>
  <si>
    <t>6021</t>
  </si>
  <si>
    <t>Loans Vehicles</t>
  </si>
  <si>
    <t>6030</t>
  </si>
  <si>
    <t>Loans Inca</t>
  </si>
  <si>
    <t>6032</t>
  </si>
  <si>
    <t>Lesley Manyatela stadium</t>
  </si>
  <si>
    <t>6033</t>
  </si>
  <si>
    <t>Capricorn DM</t>
  </si>
  <si>
    <t>6034</t>
  </si>
  <si>
    <t>Loans waterscheme</t>
  </si>
  <si>
    <t>6037</t>
  </si>
  <si>
    <t>DBSA - managers offices</t>
  </si>
  <si>
    <t>6038</t>
  </si>
  <si>
    <t>DBSA - plant aerators</t>
  </si>
  <si>
    <t>6039</t>
  </si>
  <si>
    <t>DBSA - roads 2</t>
  </si>
  <si>
    <t>6040</t>
  </si>
  <si>
    <t>DBSA - roads 1</t>
  </si>
  <si>
    <t>6041</t>
  </si>
  <si>
    <t>DBSA - Civic centre phase 1</t>
  </si>
  <si>
    <t>LOANS : LONG TERM : GOVERNMENT</t>
  </si>
  <si>
    <t>LOANS</t>
  </si>
  <si>
    <t>620</t>
  </si>
  <si>
    <t>6201</t>
  </si>
  <si>
    <t>Consumers</t>
  </si>
  <si>
    <t>consumer dep</t>
  </si>
  <si>
    <t>DEPOSITS : CONSUMER</t>
  </si>
  <si>
    <t>621</t>
  </si>
  <si>
    <t>6205</t>
  </si>
  <si>
    <t>Postar &amp; Hall</t>
  </si>
  <si>
    <t>creditors</t>
  </si>
  <si>
    <t>DEPOSITS : GENERAL</t>
  </si>
  <si>
    <t>DEPOSITS</t>
  </si>
  <si>
    <t>640</t>
  </si>
  <si>
    <t>6400</t>
  </si>
  <si>
    <t>Accounts payable</t>
  </si>
  <si>
    <t>CREDITOR</t>
  </si>
  <si>
    <t>6401</t>
  </si>
  <si>
    <t>Creditors - provisions</t>
  </si>
  <si>
    <t>6422</t>
  </si>
  <si>
    <t>6423</t>
  </si>
  <si>
    <t>Vat - control</t>
  </si>
  <si>
    <t>debtors</t>
  </si>
  <si>
    <t>debtor/creditor</t>
  </si>
  <si>
    <t>CREDITORS - TRADE</t>
  </si>
  <si>
    <t>641</t>
  </si>
  <si>
    <t>6419</t>
  </si>
  <si>
    <t>6420</t>
  </si>
  <si>
    <t>Community development</t>
  </si>
  <si>
    <t>6426</t>
  </si>
  <si>
    <t>IRF prepaid water meters</t>
  </si>
  <si>
    <t>6427</t>
  </si>
  <si>
    <t>6428</t>
  </si>
  <si>
    <t>6429</t>
  </si>
  <si>
    <t>DEBTOR</t>
  </si>
  <si>
    <t>6432</t>
  </si>
  <si>
    <t>6435</t>
  </si>
  <si>
    <t>De Beers - elec</t>
  </si>
  <si>
    <t>6436</t>
  </si>
  <si>
    <t>P/Works road camp elec</t>
  </si>
  <si>
    <t>6437</t>
  </si>
  <si>
    <t>Electrifications projects</t>
  </si>
  <si>
    <t>6439</t>
  </si>
  <si>
    <t>Renovation cattle pounds</t>
  </si>
  <si>
    <t>6440</t>
  </si>
  <si>
    <t>6442</t>
  </si>
  <si>
    <t>6444</t>
  </si>
  <si>
    <t>NOTES TO THE FINANCIAL STATEMETNS</t>
  </si>
  <si>
    <t xml:space="preserve">  GENERAL  INFORMATION</t>
  </si>
  <si>
    <t>C  Mahasela</t>
  </si>
  <si>
    <t>Councillor</t>
  </si>
  <si>
    <t>Alderman D Phologa</t>
  </si>
  <si>
    <t>G  Ramushwana</t>
  </si>
  <si>
    <t>GK  Sethlako</t>
  </si>
  <si>
    <t>PM Mulaudzi</t>
  </si>
  <si>
    <t>E Pesulo</t>
  </si>
  <si>
    <t>MC Nethavani</t>
  </si>
  <si>
    <t>MS Phiri</t>
  </si>
  <si>
    <t>ES Shirilele</t>
  </si>
  <si>
    <t>JB Maphanga</t>
  </si>
  <si>
    <t>MM Sithole</t>
  </si>
  <si>
    <t>GRADING  OF  COUNCIL</t>
  </si>
  <si>
    <t>Grade  2</t>
  </si>
  <si>
    <t>AUDITORS</t>
  </si>
  <si>
    <t>Auditor - General</t>
  </si>
  <si>
    <t>BANKERS</t>
  </si>
  <si>
    <t>ABSA  Limited</t>
  </si>
  <si>
    <t>REGISTERED  OFFICE</t>
  </si>
  <si>
    <t>Civic  Centre</t>
  </si>
  <si>
    <t>Under Construction</t>
  </si>
  <si>
    <t>Additions/ Transfers</t>
  </si>
  <si>
    <t xml:space="preserve"> Disposals</t>
  </si>
  <si>
    <t xml:space="preserve">            Disposals</t>
  </si>
  <si>
    <t>Budget Additions 2006</t>
  </si>
  <si>
    <t>EXECUTIVE COUNCIL</t>
  </si>
  <si>
    <t>Executive Council</t>
  </si>
  <si>
    <t>FINANCE &amp; ADMINISTRATION</t>
  </si>
  <si>
    <t>Finance</t>
  </si>
  <si>
    <t>Information technology</t>
  </si>
  <si>
    <r>
      <t>4)</t>
    </r>
    <r>
      <rPr>
        <sz val="7"/>
        <rFont val="Times New Roman"/>
        <family val="1"/>
      </rPr>
      <t xml:space="preserve">       </t>
    </r>
    <r>
      <rPr>
        <sz val="8"/>
        <rFont val="Arial"/>
        <family val="2"/>
      </rPr>
      <t>Change the chart of accounts and accounting software package to ensure that the segmental revenue, expenses, results, assets and liabilities can be accounted for and presented in the AFS according to the primary and secondary reporting formats.</t>
    </r>
  </si>
  <si>
    <r>
      <t>2)</t>
    </r>
    <r>
      <rPr>
        <sz val="7"/>
        <rFont val="Times New Roman"/>
        <family val="1"/>
      </rPr>
      <t xml:space="preserve">       </t>
    </r>
    <r>
      <rPr>
        <sz val="8"/>
        <rFont val="Arial"/>
        <family val="2"/>
      </rPr>
      <t>Segment results for every reportable segment.</t>
    </r>
  </si>
  <si>
    <r>
      <t>3)</t>
    </r>
    <r>
      <rPr>
        <sz val="7"/>
        <rFont val="Times New Roman"/>
        <family val="1"/>
      </rPr>
      <t xml:space="preserve">       </t>
    </r>
    <r>
      <rPr>
        <sz val="8"/>
        <rFont val="Arial"/>
        <family val="2"/>
      </rPr>
      <t>Segment assets for every reportable segment.</t>
    </r>
  </si>
  <si>
    <r>
      <t>4)</t>
    </r>
    <r>
      <rPr>
        <sz val="7"/>
        <rFont val="Times New Roman"/>
        <family val="1"/>
      </rPr>
      <t xml:space="preserve">       </t>
    </r>
    <r>
      <rPr>
        <sz val="8"/>
        <rFont val="Arial"/>
        <family val="2"/>
      </rPr>
      <t>The total cost incurred during the period to acquire reportable segment long term assets.</t>
    </r>
  </si>
  <si>
    <r>
      <t>5)</t>
    </r>
    <r>
      <rPr>
        <sz val="7"/>
        <rFont val="Times New Roman"/>
        <family val="1"/>
      </rPr>
      <t xml:space="preserve">       </t>
    </r>
    <r>
      <rPr>
        <sz val="8"/>
        <rFont val="Arial"/>
        <family val="2"/>
      </rPr>
      <t>A reconciliation between the information disclosed for reportable segments and the information in the entity’s own financial statements.</t>
    </r>
  </si>
  <si>
    <t>Railway Lines</t>
  </si>
  <si>
    <t>Security Measures</t>
  </si>
  <si>
    <t>Bins and Containers</t>
  </si>
  <si>
    <t>Furniture and Fittings</t>
  </si>
  <si>
    <t>Buildings</t>
  </si>
  <si>
    <t>Emergency Equipment</t>
  </si>
  <si>
    <t>Truvello Radar</t>
  </si>
  <si>
    <t>Lang TB</t>
  </si>
  <si>
    <t>Jnl Bl 131</t>
  </si>
  <si>
    <t>Admin Services</t>
  </si>
  <si>
    <t>Legal Services</t>
  </si>
  <si>
    <t>Municipal Buildings</t>
  </si>
  <si>
    <t>Public Services</t>
  </si>
  <si>
    <t>Estates &amp; Pound</t>
  </si>
  <si>
    <t>Polution Control</t>
  </si>
  <si>
    <t>Parks &amp; recreation</t>
  </si>
  <si>
    <t>PARKS &amp; RECREATION</t>
  </si>
  <si>
    <t>Clearance Certificates</t>
  </si>
  <si>
    <t>Building Plans</t>
  </si>
  <si>
    <t xml:space="preserve">  </t>
  </si>
  <si>
    <t>- Written to accumulated surplus/(deficit)</t>
  </si>
  <si>
    <t>* Statutory Funds</t>
  </si>
  <si>
    <t>* Reserves</t>
  </si>
  <si>
    <t>Zelpy Pty (Ltd) - Shares</t>
  </si>
  <si>
    <t>Zelpy Pty (Ltd) - Premium</t>
  </si>
  <si>
    <t>Advanced payments</t>
  </si>
  <si>
    <t>295466 prepaid moet nie hier</t>
  </si>
  <si>
    <t>plus trail c13</t>
  </si>
  <si>
    <t>min c13</t>
  </si>
  <si>
    <t>081/701/0301</t>
  </si>
  <si>
    <t>Correction vote</t>
  </si>
  <si>
    <t>Consumers paid in advance</t>
  </si>
  <si>
    <t>Prepaid Electricity</t>
  </si>
  <si>
    <t>Sport Fields</t>
  </si>
  <si>
    <t>Reconstruction</t>
  </si>
  <si>
    <t>Car Port</t>
  </si>
  <si>
    <t>10</t>
  </si>
  <si>
    <t>25</t>
  </si>
  <si>
    <t>30</t>
  </si>
  <si>
    <t>5</t>
  </si>
  <si>
    <t>3</t>
  </si>
  <si>
    <t xml:space="preserve">  121–150+ days</t>
  </si>
  <si>
    <t xml:space="preserve">  Advanced Payments</t>
  </si>
  <si>
    <t>Services - Elec</t>
  </si>
  <si>
    <t>Previously reported amounts written off that no longer meet the criteria of an asset</t>
  </si>
  <si>
    <t>05/06</t>
  </si>
  <si>
    <t>Movements</t>
  </si>
  <si>
    <t>06/07</t>
  </si>
  <si>
    <t>Closing Bal</t>
  </si>
  <si>
    <t>30/06/2007</t>
  </si>
  <si>
    <t>TB</t>
  </si>
  <si>
    <t>30/06/2008</t>
  </si>
  <si>
    <t>Dt</t>
  </si>
  <si>
    <t>Cr</t>
  </si>
  <si>
    <t>Ct</t>
  </si>
  <si>
    <t>Capital dev Fund</t>
  </si>
  <si>
    <t>Town development Fund</t>
  </si>
  <si>
    <t>Differences</t>
  </si>
  <si>
    <t>Correction 06/07</t>
  </si>
  <si>
    <t>Corr 07/08</t>
  </si>
  <si>
    <t>Diff end 07/08</t>
  </si>
  <si>
    <t>Accum Surplus and D</t>
  </si>
  <si>
    <t>xxx</t>
  </si>
  <si>
    <t>Contribution to Provision</t>
  </si>
  <si>
    <t>2007 figure taken out - shown in Investments</t>
  </si>
  <si>
    <t>Trial Balance c241</t>
  </si>
  <si>
    <t>Acc Depr MainTB</t>
  </si>
  <si>
    <t>Difference with Note 10</t>
  </si>
  <si>
    <t>Fixed Assets MainTB</t>
  </si>
  <si>
    <t>Descr</t>
  </si>
  <si>
    <t>Tref nie deur van iets af nie</t>
  </si>
  <si>
    <t>Note 9</t>
  </si>
  <si>
    <t>Note 20</t>
  </si>
  <si>
    <t>0607</t>
  </si>
  <si>
    <t>Main TB 0708 Cons Debtors Open Bal</t>
  </si>
  <si>
    <t>Debtors General (RD, Vhembe, MIS, Limp Valley)</t>
  </si>
  <si>
    <t>Closing Bal 0607 Total Debtors</t>
  </si>
  <si>
    <t>0506</t>
  </si>
  <si>
    <t>Consumer Debtors</t>
  </si>
  <si>
    <t>Less Bad Debts</t>
  </si>
  <si>
    <t>Sundry Debtors</t>
  </si>
  <si>
    <t>Sect 79(18) Tarrifs</t>
  </si>
  <si>
    <t>Letsema / Zelpy</t>
  </si>
  <si>
    <t>CALCULATION OF DEBTORS 0506 AND 0607</t>
  </si>
  <si>
    <t>Other expenditure</t>
  </si>
  <si>
    <t>Difference in nett asssets and Zelpy investment</t>
  </si>
  <si>
    <t>Additions 0607 source of funding grants</t>
  </si>
  <si>
    <t>Revaluation of land</t>
  </si>
  <si>
    <t>Funds and reserves</t>
  </si>
  <si>
    <t>Difference in nett assets and invesetment in Zelpy</t>
  </si>
  <si>
    <t>Correction on PPE Municipal Land</t>
  </si>
  <si>
    <t>Excessive Provisions and Reserves no longer permitted (see 38.2 above)</t>
  </si>
  <si>
    <t>- Transferred to Creditors</t>
  </si>
  <si>
    <t>Limpopo Valley</t>
  </si>
  <si>
    <t>Auction income</t>
  </si>
  <si>
    <t>* APPENDIX C</t>
  </si>
  <si>
    <t>* APPENDIX D</t>
  </si>
  <si>
    <t>* APPENDIX E(1)</t>
  </si>
  <si>
    <t>* APPENDIX E(2)</t>
  </si>
  <si>
    <t>* APPENDIX F</t>
  </si>
  <si>
    <t>* APPENDIX G</t>
  </si>
  <si>
    <t>SCHEDULE OF EXTERNAL LOANS</t>
  </si>
  <si>
    <t>ANALYSIS OF PROPERTY, PLANT AND EQUIPMENT</t>
  </si>
  <si>
    <t>SEGMENTAL ANALYSIS OF PROPERTY, PLANT AND EQUIPMENT</t>
  </si>
  <si>
    <t>ACTUAL OPERATING VERSUS BUDGET</t>
  </si>
  <si>
    <t>DEVIATION FROM PROCUREMENT PROCESSESS</t>
  </si>
  <si>
    <t xml:space="preserve">The budget for this revenue source was based on historical information and the normal increase on rates </t>
  </si>
  <si>
    <t>Agency fee on water and sanitation from Vhembe District Municipality</t>
  </si>
  <si>
    <t>More income was budgeted for sale of stands than what was realised, as part of the income was realised in the financial year 2006/07</t>
  </si>
  <si>
    <t>This was due to a number of positions  which were vacant due to resignations and not filled</t>
  </si>
  <si>
    <t>This is due to a change in accounting standards from IMFO to GAMAP - Depreciation</t>
  </si>
  <si>
    <t>Less interest paid due to vehicles budgeted to be bought in 2007/08</t>
  </si>
  <si>
    <t>This is due to a change in accounting standards from IMFO to GAMAP - Redemption of External Borrowing</t>
  </si>
  <si>
    <t>This was due to adjustments done on provisions like Leave which are recalculated at year end on the leave days accrued</t>
  </si>
  <si>
    <t>Less budget was used for the construction of concrete roads as the District Municipality funded part of this project</t>
  </si>
  <si>
    <t>Upgrade of electricity reticulation rolled over to 2008/2009</t>
  </si>
  <si>
    <t>Highmast community lighting projects rolled over to 2008/2009</t>
  </si>
  <si>
    <t>Increase in rental of council versus the budget that was based on historical information</t>
  </si>
  <si>
    <t>This budget was based on historical information from 2006/07</t>
  </si>
  <si>
    <t>Increase in interest rates</t>
  </si>
  <si>
    <t>6 - 18</t>
  </si>
  <si>
    <t>28 - 29</t>
  </si>
  <si>
    <t>31 - 33</t>
  </si>
  <si>
    <t>40 - 42</t>
  </si>
  <si>
    <t>45 - 46</t>
  </si>
  <si>
    <t>ADDITIONAL DISCLOSURES IN TERMS OF SECTION 125 OF MFMA 2003</t>
  </si>
  <si>
    <t>Billing tot billing</t>
  </si>
  <si>
    <t>syfer tot op jaareinde</t>
  </si>
  <si>
    <t>Other: Correction of Water Indigent</t>
  </si>
  <si>
    <t>Ct cons debtors</t>
  </si>
  <si>
    <t>Vhembe Indigents</t>
  </si>
  <si>
    <t>Adjustment</t>
  </si>
  <si>
    <t>Valuations on land are performed every four years and the last general valuation come into effect on 1 July 2006. The basic rate for 2007/08 was 0.007441c in the Rand on land and improvements.</t>
  </si>
  <si>
    <t>This grant is an unconditionally grant and is partially utilized for the provision of indigent support through free basic services.</t>
  </si>
  <si>
    <t>Chief Financial Officer</t>
  </si>
  <si>
    <t>Manager Corporate Services</t>
  </si>
  <si>
    <t>Manager Community Services</t>
  </si>
  <si>
    <t>Manager Technical Services</t>
  </si>
  <si>
    <t>The Mayor and Chief Whip are full time.  Each is provided with an office and secretarial support at the cost of Council.</t>
  </si>
  <si>
    <t>The Mayor has use of a Council owned vehicle and driver for official duties.</t>
  </si>
  <si>
    <t>T. MOCKE</t>
  </si>
  <si>
    <t xml:space="preserve">When such items of property, plant and equipment are depreciated, a transfer is made from the Government Grants Reserve to the accumulated surplus/(deficit).  </t>
  </si>
  <si>
    <t>When an item of property, plant and equipment financed from government grants is disposed of, the balance in the Government Grant Reserve relating to such item is transferred to the accumulated surplus/(deficit).</t>
  </si>
  <si>
    <t>When items of property, plant and equipment are financed from public contributions and donations, a transfer is made from the accumulated surplus/(deficit) to the Donations and Public Contributions Reserve equal to the donations and public contributions recorded as revenue in the Statement of Financial Performance in accordance with a directive (budget circular) issued by National Treasury.</t>
  </si>
  <si>
    <t>The purpose of this reserve is to promote community equity and facilitate budgetary control by ensuring that sufficient funds are set aside to offset the future depreciation charges that will be incurred over the estimated useful life of the item of property, plant and equipment financed from donations and public contributions.</t>
  </si>
  <si>
    <t xml:space="preserve">When such items of property, plant and equipment are depreciated, a transfer is made from the Donations and Public Contributions Reserve to the accumulated surplus/(deficit).  </t>
  </si>
  <si>
    <t>When an item of property, plant and equipment financed from donations and public contributions is disposed of, the balance in the Donations and Public Contributions Reserve relating to such item is transferred to the accumulated surplus/(deficit).</t>
  </si>
  <si>
    <t>An item of property, plant and equipment which qualifies for recognition as an asset shall initially be measured at cost.  Property, plant and equipment is stated at historical cost, less accumulated depreciation and impairment losses.  Such assets are financed either by external loans, capital replacement reserve, government grants and contributions and donations.</t>
  </si>
  <si>
    <t xml:space="preserve">The cost of an item of property, plant and equipment comprises of its purchase price, including import duties and non-refundable purchase taxes and any directly attributable costs of bringing the asset to working condition for its intended use. </t>
  </si>
  <si>
    <t>Any trade discounts and rebates are deducted in arriving at the purchase price.</t>
  </si>
  <si>
    <t>Current portion of long term liabilities</t>
  </si>
  <si>
    <t>Total Net Assets and Liabilities</t>
  </si>
  <si>
    <t>ASSETS</t>
  </si>
  <si>
    <t>Non-current assets</t>
  </si>
  <si>
    <t>Intangible assets</t>
  </si>
  <si>
    <t>Property, plant &amp; equipment</t>
  </si>
  <si>
    <t>Investments property</t>
  </si>
  <si>
    <t>Investments</t>
  </si>
  <si>
    <t>Inventory</t>
  </si>
  <si>
    <t>Short-term investments</t>
  </si>
  <si>
    <t>Consumer debtors</t>
  </si>
  <si>
    <t>Other debtors</t>
  </si>
  <si>
    <t>Current portion of long-term receivables</t>
  </si>
  <si>
    <t>Total Assets</t>
  </si>
  <si>
    <t>Note</t>
  </si>
  <si>
    <t>as at</t>
  </si>
  <si>
    <t>STATEMENT OF FINANCIAL PERFORMANCE</t>
  </si>
  <si>
    <t>for the year ended</t>
  </si>
  <si>
    <t>30 June 2007</t>
  </si>
  <si>
    <t>REVENUE</t>
  </si>
  <si>
    <t>Actual</t>
  </si>
  <si>
    <t>Property rates</t>
  </si>
  <si>
    <t>Service charges:</t>
  </si>
  <si>
    <t>Electricity</t>
  </si>
  <si>
    <t>Refuse Removal</t>
  </si>
  <si>
    <t>Sewerage</t>
  </si>
  <si>
    <t>Water</t>
  </si>
  <si>
    <t>Rental of facilities and equipment</t>
  </si>
  <si>
    <t>Interest earned – external investments</t>
  </si>
  <si>
    <t>Interest earned – outstanding debtors</t>
  </si>
  <si>
    <t>Fines</t>
  </si>
  <si>
    <t>Licenses and permits</t>
  </si>
  <si>
    <t>Income for agency services</t>
  </si>
  <si>
    <t>Government grants and subsidies received - operating</t>
  </si>
  <si>
    <t>Government grants and subsidies received - capital</t>
  </si>
  <si>
    <t>Public contributions, donated and contributed property, plant and equipment</t>
  </si>
  <si>
    <t>Other revenue</t>
  </si>
  <si>
    <t>Gain on disposal of property, plant and equipment</t>
  </si>
  <si>
    <t>Total Revenue</t>
  </si>
  <si>
    <t>EXPENDITURE</t>
  </si>
  <si>
    <t>Remuneration of councillors</t>
  </si>
  <si>
    <t>Bad debts</t>
  </si>
  <si>
    <t>Collection costs</t>
  </si>
  <si>
    <t>Depreciation</t>
  </si>
  <si>
    <t>Repairs and maintenance</t>
  </si>
  <si>
    <t>Interest paid</t>
  </si>
  <si>
    <t>Contracted services</t>
  </si>
  <si>
    <t>General expenses (including abnormal expenses)</t>
  </si>
  <si>
    <t>Loss on disposal of property, plant and equipment</t>
  </si>
  <si>
    <t>052/310/1029</t>
  </si>
  <si>
    <t>052/370/1071</t>
  </si>
  <si>
    <t>052/380/1106</t>
  </si>
  <si>
    <t>Computer</t>
  </si>
  <si>
    <t>Equipment</t>
  </si>
  <si>
    <t>052/440/1308</t>
  </si>
  <si>
    <t>052/440/1310</t>
  </si>
  <si>
    <t>052/440/1336</t>
  </si>
  <si>
    <t>052/440/1358</t>
  </si>
  <si>
    <t>Rent</t>
  </si>
  <si>
    <t>Repeaters</t>
  </si>
  <si>
    <t>052/440/1359</t>
  </si>
  <si>
    <t>Hardware</t>
  </si>
  <si>
    <t>052/440/1364</t>
  </si>
  <si>
    <t>052/440/1366</t>
  </si>
  <si>
    <t>052/762/7606</t>
  </si>
  <si>
    <t>Server,</t>
  </si>
  <si>
    <t>Computers</t>
  </si>
  <si>
    <t>063/041/0256</t>
  </si>
  <si>
    <t>063/300/1001</t>
  </si>
  <si>
    <t>063/300/1004</t>
  </si>
  <si>
    <t>063/300/1009</t>
  </si>
  <si>
    <t>063/300/1010</t>
  </si>
  <si>
    <t>063/300/1012</t>
  </si>
  <si>
    <t>063/300/1013</t>
  </si>
  <si>
    <t>063/310/1021</t>
  </si>
  <si>
    <t>063/310/1022</t>
  </si>
  <si>
    <t>063/310/1023</t>
  </si>
  <si>
    <t>066/380/1215</t>
  </si>
  <si>
    <t>Coun</t>
  </si>
  <si>
    <t>Build</t>
  </si>
  <si>
    <t>066/380/1220</t>
  </si>
  <si>
    <t>Vehic</t>
  </si>
  <si>
    <t>066/380/1310</t>
  </si>
  <si>
    <t>066/390/1231</t>
  </si>
  <si>
    <t>066/400/1241</t>
  </si>
  <si>
    <t>066/440/1310</t>
  </si>
  <si>
    <t>066/440/1311</t>
  </si>
  <si>
    <t>066/440/1325</t>
  </si>
  <si>
    <t>066/440/1327</t>
  </si>
  <si>
    <t>066/440/1335</t>
  </si>
  <si>
    <t>066/440/1348</t>
  </si>
  <si>
    <t>066/440/1350</t>
  </si>
  <si>
    <t>066/440/1366</t>
  </si>
  <si>
    <t>066/440/1367</t>
  </si>
  <si>
    <t>066/440/1370</t>
  </si>
  <si>
    <t>RENTAL</t>
  </si>
  <si>
    <t>OF</t>
  </si>
  <si>
    <t>EQUIPMEN</t>
  </si>
  <si>
    <t>066/761/7619</t>
  </si>
  <si>
    <t>Bins</t>
  </si>
  <si>
    <t>066/762/1103</t>
  </si>
  <si>
    <t>upgrad</t>
  </si>
  <si>
    <t>080/041/0256</t>
  </si>
  <si>
    <t>080/300/1001</t>
  </si>
  <si>
    <t>080/300/1002</t>
  </si>
  <si>
    <t>080/300/1004</t>
  </si>
  <si>
    <t>080/300/1009</t>
  </si>
  <si>
    <t>080/300/1010</t>
  </si>
  <si>
    <t>080/300/1012</t>
  </si>
  <si>
    <t>080/300/1013</t>
  </si>
  <si>
    <t>ACCOUN</t>
  </si>
  <si>
    <t>908/908/9008</t>
  </si>
  <si>
    <t>ADMIN.</t>
  </si>
  <si>
    <t>FEES</t>
  </si>
  <si>
    <t>RECOVERED</t>
  </si>
  <si>
    <t>909/909/9009</t>
  </si>
  <si>
    <t>AUTOMATIC</t>
  </si>
  <si>
    <t>CREDIT</t>
  </si>
  <si>
    <t>NOTE</t>
  </si>
  <si>
    <t>PRIOR</t>
  </si>
  <si>
    <t>YEAR</t>
  </si>
  <si>
    <t>910/910/9010</t>
  </si>
  <si>
    <t>AUTO</t>
  </si>
  <si>
    <t>911/911/9011</t>
  </si>
  <si>
    <t>INVOICE</t>
  </si>
  <si>
    <t>ADJUSTMENT</t>
  </si>
  <si>
    <t>912/912/9012</t>
  </si>
  <si>
    <t>ISSUE</t>
  </si>
  <si>
    <t>913/913/9013</t>
  </si>
  <si>
    <t>REFUND</t>
  </si>
  <si>
    <t>914/914/9014</t>
  </si>
  <si>
    <t>OLD</t>
  </si>
  <si>
    <t>A/C</t>
  </si>
  <si>
    <t>915/915/9015</t>
  </si>
  <si>
    <t>PAYAB</t>
  </si>
  <si>
    <t>PROV.</t>
  </si>
  <si>
    <t>916/916/9016</t>
  </si>
  <si>
    <t>PREVIOUS</t>
  </si>
  <si>
    <t>917/917/9017</t>
  </si>
  <si>
    <t>GRN/</t>
  </si>
  <si>
    <t>PRICE</t>
  </si>
  <si>
    <t>ADJ</t>
  </si>
  <si>
    <t>PREV</t>
  </si>
  <si>
    <t>YR</t>
  </si>
  <si>
    <t>920/920/9020</t>
  </si>
  <si>
    <t>921/921/9021</t>
  </si>
  <si>
    <t>922/922/9022</t>
  </si>
  <si>
    <t>923/923/9023</t>
  </si>
  <si>
    <t>SETTLEMENT</t>
  </si>
  <si>
    <t>930/930/9030</t>
  </si>
  <si>
    <t>DISCOUN</t>
  </si>
  <si>
    <t>STALE</t>
  </si>
  <si>
    <t>CHEQUES</t>
  </si>
  <si>
    <t>940/940/9040</t>
  </si>
  <si>
    <t>DEBTORS</t>
  </si>
  <si>
    <t>951/951/9051</t>
  </si>
  <si>
    <t>CONSUMER</t>
  </si>
  <si>
    <t>951/951/9052</t>
  </si>
  <si>
    <t>Default</t>
  </si>
  <si>
    <t>Roundings</t>
  </si>
  <si>
    <t>not linked see note 19</t>
  </si>
  <si>
    <t>not linked see note 20</t>
  </si>
  <si>
    <t>figures according to trail balance</t>
  </si>
  <si>
    <t>Human resources</t>
  </si>
  <si>
    <t>Property services</t>
  </si>
  <si>
    <t>Other &amp; admin</t>
  </si>
  <si>
    <t>PLANNING &amp; DEVELOPMENT</t>
  </si>
  <si>
    <t>Planning &amp; development</t>
  </si>
  <si>
    <t>ROAD TRANSPORT</t>
  </si>
  <si>
    <t>Vehicle licensing &amp; testing</t>
  </si>
  <si>
    <t>Roads &amp; stormwater</t>
  </si>
  <si>
    <t>Roads other</t>
  </si>
  <si>
    <t>HEALTH</t>
  </si>
  <si>
    <t>COMMUNITY &amp; SOCIAL SERVICES</t>
  </si>
  <si>
    <t>Libraries &amp; archives</t>
  </si>
  <si>
    <t>Community halls &amp; facilities</t>
  </si>
  <si>
    <t>Cemeteries &amp; crematoriums</t>
  </si>
  <si>
    <t>PUBLIC SAFETY</t>
  </si>
  <si>
    <t>Traffic</t>
  </si>
  <si>
    <t>SPORT &amp; RECREATION</t>
  </si>
  <si>
    <t>WASTE WATER MANAGEMENT</t>
  </si>
  <si>
    <t>Public toilets</t>
  </si>
  <si>
    <t>WASTE MANAGEMENT</t>
  </si>
  <si>
    <t>Solid waste</t>
  </si>
  <si>
    <t>HOUSING</t>
  </si>
  <si>
    <t>WATER</t>
  </si>
  <si>
    <t>Water distribution</t>
  </si>
  <si>
    <t>Water storage</t>
  </si>
  <si>
    <t>ELECTRICITY</t>
  </si>
  <si>
    <t>Electricity distribution</t>
  </si>
  <si>
    <t>APPENDIX C</t>
  </si>
  <si>
    <t>SEGMENTAL ANALYSIS OF PROPERTY, PLANT &amp; EQUIPMENT</t>
  </si>
  <si>
    <t>Surplus/</t>
  </si>
  <si>
    <t>(Deficit)</t>
  </si>
  <si>
    <t>Executive &amp; Council</t>
  </si>
  <si>
    <t>Finance &amp; Admin</t>
  </si>
  <si>
    <t>Human Resources</t>
  </si>
  <si>
    <t>Information Technology</t>
  </si>
  <si>
    <t>Property Services</t>
  </si>
  <si>
    <t>Other Admin</t>
  </si>
  <si>
    <t>Planning &amp; Development</t>
  </si>
  <si>
    <t>Health</t>
  </si>
  <si>
    <t>Health Other</t>
  </si>
  <si>
    <t>Community Services</t>
  </si>
  <si>
    <t>Community Halls &amp; Facilities</t>
  </si>
  <si>
    <t>Cemeteries</t>
  </si>
  <si>
    <t>Public Safety</t>
  </si>
  <si>
    <t>Fire Services</t>
  </si>
  <si>
    <t>APPENDIX D</t>
  </si>
  <si>
    <t>DETAILED SEGMENTAL STATEMENT OF FINANCIAL PERFORMANCE</t>
  </si>
  <si>
    <t>Parks &amp; Recreation</t>
  </si>
  <si>
    <t>Waste Management</t>
  </si>
  <si>
    <t>Public Toilets</t>
  </si>
  <si>
    <t>Roads Transport</t>
  </si>
  <si>
    <t>Extent to which information in  the AFS would need to be adjusted to achieve compliance with the exempted standards</t>
  </si>
  <si>
    <t>GRAP 03</t>
  </si>
  <si>
    <t>Accounting policies, changes in accounting estimates and errors</t>
  </si>
  <si>
    <t>Identification and impact of GRAP standards that have been issued but are not yet effective (GRAP 3.30 – 31). A list of these standards is as follows:</t>
  </si>
  <si>
    <t>Y</t>
  </si>
  <si>
    <t>The following GRAP standards have been issued but are not yet effective. The implementation plans that still need to be implemented to achieve full compliance with the standards are set out below.</t>
  </si>
  <si>
    <t>GRAP4,6,7,8,9,12,17 AND 19</t>
  </si>
  <si>
    <t>GRAP 4 The Effects of Changes in Foreign Exchange Rates</t>
  </si>
  <si>
    <t>Currently the municipality adheres to the requirements of the comparable GAMAP standards. Determine the difference between the applicable accounting treatment and disclosure requirements of the GAMAP versus the GRAP standards and make any necessary adjustments to the AFS.</t>
  </si>
  <si>
    <t>CERTIFICATION AND APPROVAL BY THE ACCOUNTING OFFICER</t>
  </si>
  <si>
    <t>Workmen’s compensation</t>
  </si>
  <si>
    <t>Less:  employee cost capitalized</t>
  </si>
  <si>
    <t>Less:  employee cost to operating</t>
  </si>
  <si>
    <t>Total employee related cost</t>
  </si>
  <si>
    <t>Remuneration of Managers</t>
  </si>
  <si>
    <t>Municipal Manager</t>
  </si>
  <si>
    <t>Annual remuneration</t>
  </si>
  <si>
    <t>Performance bonus</t>
  </si>
  <si>
    <t>Disclosure in terms of the MFMA, 2003, Section 124(1)(c).</t>
  </si>
  <si>
    <t>During the year performance bonuses were paid out in terms of Section 57 of the Municipal Systems Act</t>
  </si>
  <si>
    <t>REMUNERATION OF COUNCILLORS</t>
  </si>
  <si>
    <t>Mayoral Committee members</t>
  </si>
  <si>
    <t>Chief Whip</t>
  </si>
  <si>
    <t>Councillors</t>
  </si>
  <si>
    <t>Pension fund</t>
  </si>
  <si>
    <t>Travelling allowances</t>
  </si>
  <si>
    <t>Cellphone allowances</t>
  </si>
  <si>
    <t>UIF</t>
  </si>
  <si>
    <t>Total councillor’s remuneration</t>
  </si>
  <si>
    <t>Disclosure in terms of the MFMA, 2003, Section 124(1)(a)</t>
  </si>
  <si>
    <t xml:space="preserve">CERTIFICATION </t>
  </si>
  <si>
    <t>Performance Bonus Managers</t>
  </si>
  <si>
    <t>Retention Allocation Municipal Building Phase 2</t>
  </si>
  <si>
    <t>Performance Bonusses Managers</t>
  </si>
  <si>
    <t>Retention Municipal Building Phase 2</t>
  </si>
  <si>
    <t>STATUTORY FUNDS &amp; RESERVES</t>
  </si>
  <si>
    <t>Balance at beginning of the year - Statutory Funds</t>
  </si>
  <si>
    <t>Balance at beginning of the year - Reserves</t>
  </si>
  <si>
    <t>Adjustments</t>
  </si>
  <si>
    <t>Duplication of Loans Source of Finance 06/07</t>
  </si>
  <si>
    <t>063/310/1024</t>
  </si>
  <si>
    <t>063/310/1029</t>
  </si>
  <si>
    <t>063/370/1071</t>
  </si>
  <si>
    <t>063/380/1111</t>
  </si>
  <si>
    <t>063/380/1215</t>
  </si>
  <si>
    <t>063/440/1308</t>
  </si>
  <si>
    <t>063/440/1311</t>
  </si>
  <si>
    <t>063/440/1312</t>
  </si>
  <si>
    <t>Paupers</t>
  </si>
  <si>
    <t>Burial</t>
  </si>
  <si>
    <t>063/440/1313</t>
  </si>
  <si>
    <t>Non-Capital</t>
  </si>
  <si>
    <t>Goods</t>
  </si>
  <si>
    <t>063/440/1314</t>
  </si>
  <si>
    <t>Railage</t>
  </si>
  <si>
    <t>063/440/1315</t>
  </si>
  <si>
    <t>Pest</t>
  </si>
  <si>
    <t>Control</t>
  </si>
  <si>
    <t>063/440/1316</t>
  </si>
  <si>
    <t>Signage</t>
  </si>
  <si>
    <t>063/440/1317</t>
  </si>
  <si>
    <t>Testing</t>
  </si>
  <si>
    <t>Samples</t>
  </si>
  <si>
    <t>063/440/1327</t>
  </si>
  <si>
    <t>063/440/1347</t>
  </si>
  <si>
    <t>063/440/1348</t>
  </si>
  <si>
    <t>063/440/1350</t>
  </si>
  <si>
    <t>063/440/1364</t>
  </si>
  <si>
    <t>063/440/1366</t>
  </si>
  <si>
    <t>063/440/1367</t>
  </si>
  <si>
    <t>063/440/1370</t>
  </si>
  <si>
    <t>Exa</t>
  </si>
  <si>
    <t>063/440/1374</t>
  </si>
  <si>
    <t>Replacement</t>
  </si>
  <si>
    <t>063/440/1400</t>
  </si>
  <si>
    <t>HIV</t>
  </si>
  <si>
    <t>AIDS</t>
  </si>
  <si>
    <t>Worksho</t>
  </si>
  <si>
    <t>063/440/1401</t>
  </si>
  <si>
    <t>Environmental</t>
  </si>
  <si>
    <t>camp</t>
  </si>
  <si>
    <t>063/440/1402</t>
  </si>
  <si>
    <t>on</t>
  </si>
  <si>
    <t>cleane</t>
  </si>
  <si>
    <t>Parks</t>
  </si>
  <si>
    <t>Recreation</t>
  </si>
  <si>
    <t>064/041/0002</t>
  </si>
  <si>
    <t>Lotto</t>
  </si>
  <si>
    <t>Funding</t>
  </si>
  <si>
    <t>Le</t>
  </si>
  <si>
    <t>064/041/0256</t>
  </si>
  <si>
    <t>064/070/0140</t>
  </si>
  <si>
    <t>Counc</t>
  </si>
  <si>
    <t>064/300/1001</t>
  </si>
  <si>
    <t>064/300/1002</t>
  </si>
  <si>
    <t>064/300/1004</t>
  </si>
  <si>
    <t>064/300/1009</t>
  </si>
  <si>
    <t>064/300/1010</t>
  </si>
  <si>
    <t>064/300/1012</t>
  </si>
  <si>
    <t>064/310/1021</t>
  </si>
  <si>
    <t>064/310/1022</t>
  </si>
  <si>
    <t>064/310/1023</t>
  </si>
  <si>
    <t>064/310/1024</t>
  </si>
  <si>
    <t>064/310/1029</t>
  </si>
  <si>
    <t>064/370/1071</t>
  </si>
  <si>
    <t>064/380/1111</t>
  </si>
  <si>
    <t>064/380/1215</t>
  </si>
  <si>
    <t>064/380/1220</t>
  </si>
  <si>
    <t>Ve</t>
  </si>
  <si>
    <t>064/440/1311</t>
  </si>
  <si>
    <t>064/440/1325</t>
  </si>
  <si>
    <t>064/440/1327</t>
  </si>
  <si>
    <t>064/440/1350</t>
  </si>
  <si>
    <t>064/440/1364</t>
  </si>
  <si>
    <t>064/701/7614</t>
  </si>
  <si>
    <t>Lesley</t>
  </si>
  <si>
    <t>Manyatela</t>
  </si>
  <si>
    <t>064/710/7615</t>
  </si>
  <si>
    <t>064/762/7616</t>
  </si>
  <si>
    <t>Bush</t>
  </si>
  <si>
    <t>Cutters,</t>
  </si>
  <si>
    <t>065/161/1299</t>
  </si>
  <si>
    <t>Cemer</t>
  </si>
  <si>
    <t>065/040/0091</t>
  </si>
  <si>
    <t>User</t>
  </si>
  <si>
    <t>Charges</t>
  </si>
  <si>
    <t>Cem</t>
  </si>
  <si>
    <t>065/041/0256</t>
  </si>
  <si>
    <t>065/300/1001</t>
  </si>
  <si>
    <t>065/300/1002</t>
  </si>
  <si>
    <t>065/300/1004</t>
  </si>
  <si>
    <t>065/310/1021</t>
  </si>
  <si>
    <t>065/310/1022</t>
  </si>
  <si>
    <t>065/310/1023</t>
  </si>
  <si>
    <t>065/310/1024</t>
  </si>
  <si>
    <t>065/310/1029</t>
  </si>
  <si>
    <t>065/370/1071</t>
  </si>
  <si>
    <t>065/380/1215</t>
  </si>
  <si>
    <t>065/440/1311</t>
  </si>
  <si>
    <t>065/440/1327</t>
  </si>
  <si>
    <t>065/440/1350</t>
  </si>
  <si>
    <t>065/440/1360</t>
  </si>
  <si>
    <t>065/701/7617</t>
  </si>
  <si>
    <t>Storm</t>
  </si>
  <si>
    <t>Wate</t>
  </si>
  <si>
    <t>065/710/1200</t>
  </si>
  <si>
    <t>Upgrade</t>
  </si>
  <si>
    <t>Cemetar</t>
  </si>
  <si>
    <t>065/762/7618</t>
  </si>
  <si>
    <t>065/784/4700</t>
  </si>
  <si>
    <t>Solid</t>
  </si>
  <si>
    <t>066/040/0071</t>
  </si>
  <si>
    <t>066/040/0221</t>
  </si>
  <si>
    <t>Infrastr</t>
  </si>
  <si>
    <t>066/041/0256</t>
  </si>
  <si>
    <t>066/300/1001</t>
  </si>
  <si>
    <t>066/300/1002</t>
  </si>
  <si>
    <t>066/300/1004</t>
  </si>
  <si>
    <t>066/300/1005</t>
  </si>
  <si>
    <t>Standby</t>
  </si>
  <si>
    <t>066/300/1009</t>
  </si>
  <si>
    <t>066/300/1010</t>
  </si>
  <si>
    <t>066/300/1012</t>
  </si>
  <si>
    <t>066/310/1021</t>
  </si>
  <si>
    <t>066/310/1022</t>
  </si>
  <si>
    <t>066/310/1023</t>
  </si>
  <si>
    <t>066/310/1024</t>
  </si>
  <si>
    <t>066/310/1029</t>
  </si>
  <si>
    <t>066/370/1071</t>
  </si>
  <si>
    <t>Revenue received from conditional grants, donations and funding are recognised as revenue to the extent that the municipality has complied with any of the criteria, conditions or obligations embodied in the agreement.  To the extent that the criteria, conditions or obligations have not been met a liability is raised.</t>
  </si>
  <si>
    <t>Cash includes cash on hand and cash with banks.  Cash equivalents are short-term investments that are held with registered banking institutions with maturities of 32 days or daily calls.</t>
  </si>
  <si>
    <t>Strategy</t>
  </si>
  <si>
    <t>plan</t>
  </si>
  <si>
    <t>088/440/1301</t>
  </si>
  <si>
    <t>088/440/1348</t>
  </si>
  <si>
    <t>088/440/1364</t>
  </si>
  <si>
    <t>088/440/1371</t>
  </si>
  <si>
    <t>Workshops</t>
  </si>
  <si>
    <t>090/440/1308</t>
  </si>
  <si>
    <t>090/440/1311</t>
  </si>
  <si>
    <t>090/440/1347</t>
  </si>
  <si>
    <t>090/440/1348</t>
  </si>
  <si>
    <t>090/440/1350</t>
  </si>
  <si>
    <t>090/440/1364</t>
  </si>
  <si>
    <t>090/440/1366</t>
  </si>
  <si>
    <t>090/440/1367</t>
  </si>
  <si>
    <t>091/440/1308</t>
  </si>
  <si>
    <t>091/440/1311</t>
  </si>
  <si>
    <t>091/440/1347</t>
  </si>
  <si>
    <t>091/440/1348</t>
  </si>
  <si>
    <t>091/440/1350</t>
  </si>
  <si>
    <t>091/440/1364</t>
  </si>
  <si>
    <t>091/440/1366</t>
  </si>
  <si>
    <t>091/440/1367</t>
  </si>
  <si>
    <t>092/440/1308</t>
  </si>
  <si>
    <t>092/440/1311</t>
  </si>
  <si>
    <t>092/440/1347</t>
  </si>
  <si>
    <t>092/440/1348</t>
  </si>
  <si>
    <t>092/440/1350</t>
  </si>
  <si>
    <t>092/440/1364</t>
  </si>
  <si>
    <t>092/440/1366</t>
  </si>
  <si>
    <t>092/440/1367</t>
  </si>
  <si>
    <t>100/040/0223</t>
  </si>
  <si>
    <t>funding(Ro</t>
  </si>
  <si>
    <t>100/041/0256</t>
  </si>
  <si>
    <t>100/110/0161</t>
  </si>
  <si>
    <t>Licences</t>
  </si>
  <si>
    <t>100/140/0196</t>
  </si>
  <si>
    <t>100/300/1001</t>
  </si>
  <si>
    <t>100/300/1002</t>
  </si>
  <si>
    <t>100/300/1004</t>
  </si>
  <si>
    <t>100/300/1005</t>
  </si>
  <si>
    <t>100/300/1009</t>
  </si>
  <si>
    <t>100/300/1010</t>
  </si>
  <si>
    <t>100/300/1012</t>
  </si>
  <si>
    <t>100/300/1013</t>
  </si>
  <si>
    <t>100/300/1017</t>
  </si>
  <si>
    <t>100/310/1021</t>
  </si>
  <si>
    <t>100/310/1022</t>
  </si>
  <si>
    <t>100/310/1023</t>
  </si>
  <si>
    <t>100/310/1024</t>
  </si>
  <si>
    <t>100/310/1029</t>
  </si>
  <si>
    <t>100/370/1071</t>
  </si>
  <si>
    <t>100/380/1111</t>
  </si>
  <si>
    <t>100/380/1154</t>
  </si>
  <si>
    <t>Road</t>
  </si>
  <si>
    <t>Sig</t>
  </si>
  <si>
    <t>100/380/1220</t>
  </si>
  <si>
    <t>100/390/1231</t>
  </si>
  <si>
    <t>100/400/1241</t>
  </si>
  <si>
    <t>100/440/1308</t>
  </si>
  <si>
    <t>100/440/1311</t>
  </si>
  <si>
    <t>100/440/1325</t>
  </si>
  <si>
    <t>100/440/1327</t>
  </si>
  <si>
    <t>100/440/1335</t>
  </si>
  <si>
    <t>100/440/1347</t>
  </si>
  <si>
    <t>100/440/1348</t>
  </si>
  <si>
    <t>100/440/1350</t>
  </si>
  <si>
    <t>100/440/1364</t>
  </si>
  <si>
    <t>100/440/1366</t>
  </si>
  <si>
    <t>100/440/1367</t>
  </si>
  <si>
    <t>100/440/1392</t>
  </si>
  <si>
    <t>The process for identifying investment property had not been finalised and items that may meet the definition was accounted for in terms of GAMAP 17 under property, plant and equipment as permitted in terms of Gazette 30013 of 29 June 2007.</t>
  </si>
  <si>
    <t>There are four categories of financial instruments:  fair value through profit or loss (which includes trading), loans and receivables, held-to-maturity and available for sale.  All financial assets that are within the scope of IAS 39 are classified into one of the four categories.</t>
  </si>
  <si>
    <t>Financial instruments include cash and bank balance, investments, trade receivables and borrowings.  The municipality classifies its financial assets as loans and receivables.  Financial instruments are accounted for in accordance with the exemptions in terms of Gazette 30013 of 29 June 2007.</t>
  </si>
  <si>
    <t>Loans and receivables</t>
  </si>
  <si>
    <t xml:space="preserve">Loans and receivables are non-derivative financial assets with fixed or determinable payments.  They are included in current assets, except for maturities in excess of 12 months. These are classified as non-current assets.  </t>
  </si>
  <si>
    <t>110/440/1368</t>
  </si>
  <si>
    <t>Subsidy</t>
  </si>
  <si>
    <t>110/705/0700</t>
  </si>
  <si>
    <t>Manage</t>
  </si>
  <si>
    <t>110/710/1200</t>
  </si>
  <si>
    <t>110/780/4300</t>
  </si>
  <si>
    <t>110/782/4500</t>
  </si>
  <si>
    <t>120/040/0051</t>
  </si>
  <si>
    <t>Wat</t>
  </si>
  <si>
    <t>120/040/0052</t>
  </si>
  <si>
    <t>120/040/0053</t>
  </si>
  <si>
    <t>120/040/0054</t>
  </si>
  <si>
    <t>120/040/0055</t>
  </si>
  <si>
    <t>120/040/0056</t>
  </si>
  <si>
    <t>Consumer</t>
  </si>
  <si>
    <t>deposits</t>
  </si>
  <si>
    <t>120/041/0256</t>
  </si>
  <si>
    <t>120/300/1001</t>
  </si>
  <si>
    <t>120/300/1002</t>
  </si>
  <si>
    <t>120/300/1004</t>
  </si>
  <si>
    <t>120/300/1005</t>
  </si>
  <si>
    <t>120/300/1007</t>
  </si>
  <si>
    <t>Employees</t>
  </si>
  <si>
    <t>120/300/1009</t>
  </si>
  <si>
    <t>120/300/1010</t>
  </si>
  <si>
    <t>120/300/1012</t>
  </si>
  <si>
    <t>120/300/1013</t>
  </si>
  <si>
    <t>120/310/1021</t>
  </si>
  <si>
    <t>120/310/1022</t>
  </si>
  <si>
    <t>120/310/1023</t>
  </si>
  <si>
    <t>120/310/1024</t>
  </si>
  <si>
    <t>120/310/1029</t>
  </si>
  <si>
    <t>120/350/1071</t>
  </si>
  <si>
    <t>Bad</t>
  </si>
  <si>
    <t>120/380/1111</t>
  </si>
  <si>
    <t>120/380/1130</t>
  </si>
  <si>
    <t>120/380/1215</t>
  </si>
  <si>
    <t>120/380/1220</t>
  </si>
  <si>
    <t>120/380/1221</t>
  </si>
  <si>
    <t>Telemetry</t>
  </si>
  <si>
    <t>I.T</t>
  </si>
  <si>
    <t>So</t>
  </si>
  <si>
    <t>120/390/1231</t>
  </si>
  <si>
    <t>120/390/1341</t>
  </si>
  <si>
    <t>120/400/1241</t>
  </si>
  <si>
    <t>120/440/1263</t>
  </si>
  <si>
    <t>120/440/1304</t>
  </si>
  <si>
    <t>120/440/1306</t>
  </si>
  <si>
    <t>120/440/1308</t>
  </si>
  <si>
    <t>120/440/1310</t>
  </si>
  <si>
    <t>Techno</t>
  </si>
  <si>
    <t>120/440/1311</t>
  </si>
  <si>
    <t>120/440/1325</t>
  </si>
  <si>
    <t>120/440/1327</t>
  </si>
  <si>
    <t>120/440/1334</t>
  </si>
  <si>
    <t>cost</t>
  </si>
  <si>
    <t>120/440/1335</t>
  </si>
  <si>
    <t>120/440/1347</t>
  </si>
  <si>
    <t>120/440/1348</t>
  </si>
  <si>
    <t>120/440/1350</t>
  </si>
  <si>
    <t>120/440/1361</t>
  </si>
  <si>
    <t>Uniform</t>
  </si>
  <si>
    <t>120/440/1364</t>
  </si>
  <si>
    <t>120/440/1366</t>
  </si>
  <si>
    <t>120/440/1367</t>
  </si>
  <si>
    <t>120/440/1368</t>
  </si>
  <si>
    <t>120/440/1369</t>
  </si>
  <si>
    <t>120/440/1370</t>
  </si>
  <si>
    <t>fe</t>
  </si>
  <si>
    <t>120/440/1372</t>
  </si>
  <si>
    <t>120/440/1374</t>
  </si>
  <si>
    <t>120/440/1375</t>
  </si>
  <si>
    <t>ELEC</t>
  </si>
  <si>
    <t>COST</t>
  </si>
  <si>
    <t>TO</t>
  </si>
  <si>
    <t xml:space="preserve">Rebates are respectively granted, to owners of land on which not more than two dwelling units are erected provided that such dwelling units are solely used for residential purposes.  Additional relief is granted to needy, aged and/or disabled owners, based on income </t>
  </si>
  <si>
    <t>SUSPENCE</t>
  </si>
  <si>
    <t>955/955/9055</t>
  </si>
  <si>
    <t>(DEBT</t>
  </si>
  <si>
    <t>956/956/9056</t>
  </si>
  <si>
    <t>CONT</t>
  </si>
  <si>
    <t>960/960/9060</t>
  </si>
  <si>
    <t>DBN</t>
  </si>
  <si>
    <t>CANCELLATIONS</t>
  </si>
  <si>
    <t>970/970/9070</t>
  </si>
  <si>
    <t>TRANSFERS</t>
  </si>
  <si>
    <t>975/975/9075</t>
  </si>
  <si>
    <t>O/S</t>
  </si>
  <si>
    <t>ORDERDS</t>
  </si>
  <si>
    <t>C/FWD</t>
  </si>
  <si>
    <t>980/980/9080</t>
  </si>
  <si>
    <t>SURP/DEFICIT</t>
  </si>
  <si>
    <t>INCOME / EXPENDITURE</t>
  </si>
  <si>
    <t>SALARIES</t>
  </si>
  <si>
    <t>COUNCILLORS</t>
  </si>
  <si>
    <t>DEPRECIATION</t>
  </si>
  <si>
    <t>R/M</t>
  </si>
  <si>
    <t>INTEREST</t>
  </si>
  <si>
    <t>REDEMPTION</t>
  </si>
  <si>
    <t>GENERAL</t>
  </si>
  <si>
    <t>CAPITAL</t>
  </si>
  <si>
    <t>BAD DEBT</t>
  </si>
  <si>
    <t>WORKING CAPITAL</t>
  </si>
  <si>
    <t>ACTUAL</t>
  </si>
  <si>
    <t>BUDGET</t>
  </si>
  <si>
    <t>CATEGORY</t>
  </si>
  <si>
    <t>DEPARTMENT</t>
  </si>
  <si>
    <t>CGE</t>
  </si>
  <si>
    <t>MM</t>
  </si>
  <si>
    <t>INTERNAL AUDIT</t>
  </si>
  <si>
    <t>TOWN PLANNING</t>
  </si>
  <si>
    <t>LEGAL</t>
  </si>
  <si>
    <t>ADMIN</t>
  </si>
  <si>
    <t>HR</t>
  </si>
  <si>
    <t>LIBRARY</t>
  </si>
  <si>
    <t>TOURISM</t>
  </si>
  <si>
    <t>FINANCE</t>
  </si>
  <si>
    <t>IT</t>
  </si>
  <si>
    <t>PARKS &amp; REC</t>
  </si>
  <si>
    <t>CEMETERY</t>
  </si>
  <si>
    <t>SOLID WASTE</t>
  </si>
  <si>
    <t>TECHNICAL</t>
  </si>
  <si>
    <t>PUBLIC SERVICES</t>
  </si>
  <si>
    <t>MUNICIPAL BUILDINGS</t>
  </si>
  <si>
    <t>STREET LIGHTS</t>
  </si>
  <si>
    <t>WORKSHOP</t>
  </si>
  <si>
    <t>ART &amp; CULTURE</t>
  </si>
  <si>
    <t>DISASTER MANAGEMENT</t>
  </si>
  <si>
    <t>VEHICLE REGISTRATION</t>
  </si>
  <si>
    <t>Agricultural</t>
  </si>
  <si>
    <t>Industrial</t>
  </si>
  <si>
    <t>MED</t>
  </si>
  <si>
    <t>WORK</t>
  </si>
  <si>
    <t>SAL</t>
  </si>
  <si>
    <t>PENSION</t>
  </si>
  <si>
    <t>GROUP</t>
  </si>
  <si>
    <t xml:space="preserve">Retention solid waste </t>
  </si>
  <si>
    <t>Departmental grant</t>
  </si>
  <si>
    <t>Difference in nett assets and investment in Zelpy</t>
  </si>
  <si>
    <t>Increase/(decrease) in Government Grant Reserve</t>
  </si>
  <si>
    <t>Increase/(decrease) in Statutory Funds and Reserve</t>
  </si>
  <si>
    <t>Increase/(decrease) in Unspent conditional Grants and Receipts</t>
  </si>
  <si>
    <t>Increase/(decrease) in consumer deposits</t>
  </si>
  <si>
    <t>Contributions to the defined contribution pension plan in respect of service in a particular period are included in the employees’ total cost of employment and are charged to the statement of financial performance in the year to which they relate as part of cost of employment.</t>
  </si>
  <si>
    <t>Royalties shall be recognised as they are earned in accordance with the substance of the relevant agreement;  and</t>
  </si>
  <si>
    <t xml:space="preserve">Income for agency services is recognised on a monthly basis once the income collected on behalf of agents has been quantified.  </t>
  </si>
  <si>
    <t>The income recognised is in terms of the agency agreement.</t>
  </si>
  <si>
    <t>Collection charges are recognised when such amounts are incurred.</t>
  </si>
  <si>
    <t>Actuals of NOTES are linked to this sheet</t>
  </si>
  <si>
    <t>WORKINGS</t>
  </si>
  <si>
    <t>NOTES</t>
  </si>
  <si>
    <t>CHANGES IN NET ASSETS</t>
  </si>
  <si>
    <t>CASHFLOW STATEMENT</t>
  </si>
  <si>
    <t>INDEX</t>
  </si>
  <si>
    <t>*  Note 1</t>
  </si>
  <si>
    <t>*  Note 2</t>
  </si>
  <si>
    <t>*  Note 3</t>
  </si>
  <si>
    <t>*  Note 4</t>
  </si>
  <si>
    <t>*  Note 5</t>
  </si>
  <si>
    <t>*  Note 6</t>
  </si>
  <si>
    <t>*  Note 7</t>
  </si>
  <si>
    <t>*  Note 8</t>
  </si>
  <si>
    <t>*  Note 9</t>
  </si>
  <si>
    <t>*  Note 10</t>
  </si>
  <si>
    <t>*  Note 11</t>
  </si>
  <si>
    <t>*  Note 12</t>
  </si>
  <si>
    <t>*  Note 13</t>
  </si>
  <si>
    <t>*  Note 14</t>
  </si>
  <si>
    <t>*  Note 15</t>
  </si>
  <si>
    <t>*  Note 16</t>
  </si>
  <si>
    <t>*  Note 17</t>
  </si>
  <si>
    <t>*  Note 18</t>
  </si>
  <si>
    <t>*  Note 19</t>
  </si>
  <si>
    <t>*  Note 20</t>
  </si>
  <si>
    <t>*  Note 21</t>
  </si>
  <si>
    <t>*  Note 22</t>
  </si>
  <si>
    <t>*  Note 23</t>
  </si>
  <si>
    <t>*  Note 24</t>
  </si>
  <si>
    <t>*  Note 25</t>
  </si>
  <si>
    <t>*  Note 26</t>
  </si>
  <si>
    <t>*  Note 27</t>
  </si>
  <si>
    <t>*  Note 28</t>
  </si>
  <si>
    <t>*  Note 29</t>
  </si>
  <si>
    <t>*  Note 30</t>
  </si>
  <si>
    <t>*  Note 31</t>
  </si>
  <si>
    <t>*  Note 32</t>
  </si>
  <si>
    <t>*  Note 33</t>
  </si>
  <si>
    <t>*  Note 34</t>
  </si>
  <si>
    <t>*  Note 35</t>
  </si>
  <si>
    <t>*  Note 36</t>
  </si>
  <si>
    <t>*  Note 37</t>
  </si>
  <si>
    <t>*  Note 38</t>
  </si>
  <si>
    <t>*  Note 39</t>
  </si>
  <si>
    <t>*  Note 40</t>
  </si>
  <si>
    <t>2008</t>
  </si>
  <si>
    <t>Provisions are reviewed at each reporting date and adjusted to reflect the current best estimate.</t>
  </si>
  <si>
    <t>A contingent asset is a possible asset that arises from past events and whose existence will be confirmed only by the occurrence or non-occurrence of one or more uncertain future events not wholly within the control of the municipality.  Contingent assets are not recognised as assets.</t>
  </si>
  <si>
    <t>A contingent liability is a possible obligation that arises from past events and whose existence will be confirmed only by the occurrence or non-occurrence of one or more uncertain future events not wholly within the control of the municipality or a present obligation that arises from past events but is not recognised because it is not probable that an outflow of resources embodying economic benefits will be required to settle the obligation or the amount of the obligation cannot be measured with sufficient reliability.  Contingent liabilities are not recognised as liabilities.</t>
  </si>
  <si>
    <t>Gains on disposal of property, plant &amp; equipment</t>
  </si>
  <si>
    <t>Explanations of significant variances greater than 10% versus budget</t>
  </si>
  <si>
    <t>Repairs &amp; maintenance</t>
  </si>
  <si>
    <t>Interest of external borrowings</t>
  </si>
  <si>
    <t>Bulk purchases : Electricity</t>
  </si>
  <si>
    <t>Grants &amp; subsidies paid</t>
  </si>
  <si>
    <t>General expenses</t>
  </si>
  <si>
    <t>Loss on disposal of property, plant &amp; equipment</t>
  </si>
  <si>
    <t>Contributions to/(transfers from) provisions</t>
  </si>
  <si>
    <t>APPENDIX F</t>
  </si>
  <si>
    <t>ACTUAL CAPITAL VERSUS BUDGET</t>
  </si>
  <si>
    <t>Acquisition of Property, Plant and Equipment</t>
  </si>
  <si>
    <t xml:space="preserve">              Actual</t>
  </si>
  <si>
    <t>Total Additions</t>
  </si>
  <si>
    <t xml:space="preserve">            Variance</t>
  </si>
  <si>
    <t xml:space="preserve">         Variance</t>
  </si>
  <si>
    <t>Explanations of significant variances greater than 5% versus budget</t>
  </si>
  <si>
    <t>EXECUTIVE &amp; COUNCIL</t>
  </si>
  <si>
    <t>022/440/1310</t>
  </si>
  <si>
    <t>022/440/1311</t>
  </si>
  <si>
    <t>022/440/1347</t>
  </si>
  <si>
    <t>022/440/1348</t>
  </si>
  <si>
    <t>022/440/1364</t>
  </si>
  <si>
    <t>022/440/1366</t>
  </si>
  <si>
    <t>022/440/1367</t>
  </si>
  <si>
    <t>Legal</t>
  </si>
  <si>
    <t>025/041/0256</t>
  </si>
  <si>
    <t>025/161/1299</t>
  </si>
  <si>
    <t>Valuation</t>
  </si>
  <si>
    <t>025/440/1071</t>
  </si>
  <si>
    <t>025/440/1301</t>
  </si>
  <si>
    <t>025/440/1308</t>
  </si>
  <si>
    <t>025/440/1310</t>
  </si>
  <si>
    <t>025/440/1333</t>
  </si>
  <si>
    <t>025/440/1334</t>
  </si>
  <si>
    <t>Collection</t>
  </si>
  <si>
    <t>025/440/1347</t>
  </si>
  <si>
    <t>025/440/1348</t>
  </si>
  <si>
    <t>025/440/1364</t>
  </si>
  <si>
    <t>025/440/1366</t>
  </si>
  <si>
    <t>025/440/1367</t>
  </si>
  <si>
    <t>027/041/0256</t>
  </si>
  <si>
    <t>860</t>
  </si>
  <si>
    <t>8601</t>
  </si>
  <si>
    <t>Collateral investments</t>
  </si>
  <si>
    <t>investments</t>
  </si>
  <si>
    <t>Shares in Entity</t>
  </si>
  <si>
    <t>INVESTMENTS : LISTED</t>
  </si>
  <si>
    <t>9200</t>
  </si>
  <si>
    <t>Stock - consumable goods</t>
  </si>
  <si>
    <t>stock</t>
  </si>
  <si>
    <t>STOCK</t>
  </si>
  <si>
    <t>9421</t>
  </si>
  <si>
    <t>Debtors swe</t>
  </si>
  <si>
    <t>9422</t>
  </si>
  <si>
    <t>Debtors sundry</t>
  </si>
  <si>
    <t>9426</t>
  </si>
  <si>
    <t>Section 79(18) tariffs</t>
  </si>
  <si>
    <t>9457</t>
  </si>
  <si>
    <t>DEBTORS : CONSUMER</t>
  </si>
  <si>
    <t>941</t>
  </si>
  <si>
    <t>9438</t>
  </si>
  <si>
    <t>9452</t>
  </si>
  <si>
    <t>Short/Surplus banking</t>
  </si>
  <si>
    <t>9453</t>
  </si>
  <si>
    <t>Library lost books</t>
  </si>
  <si>
    <t>9455</t>
  </si>
  <si>
    <t>Municipal Improvement system</t>
  </si>
  <si>
    <t>9507</t>
  </si>
  <si>
    <r>
      <t>·</t>
    </r>
    <r>
      <rPr>
        <sz val="10"/>
        <color indexed="8"/>
        <rFont val="Arial"/>
        <family val="2"/>
      </rPr>
      <t xml:space="preserve"> It is probable that the economic benefits or service potential associated with the transaction will flow    to the municipality;  and </t>
    </r>
  </si>
  <si>
    <r>
      <t>·</t>
    </r>
    <r>
      <rPr>
        <sz val="10"/>
        <color indexed="8"/>
        <rFont val="Arial"/>
        <family val="2"/>
      </rPr>
      <t xml:space="preserve"> The amount of the revenue can be measured reliably.</t>
    </r>
  </si>
  <si>
    <r>
      <t>·</t>
    </r>
    <r>
      <rPr>
        <sz val="10"/>
        <color indexed="8"/>
        <rFont val="Arial"/>
        <family val="2"/>
      </rPr>
      <t> The amount of the revenue can be measured reliably;   and</t>
    </r>
  </si>
  <si>
    <r>
      <t>·</t>
    </r>
    <r>
      <rPr>
        <sz val="10"/>
        <color indexed="8"/>
        <rFont val="Arial"/>
        <family val="2"/>
      </rPr>
      <t xml:space="preserve"> To the extent that there has been compliance with any restrictions associated with the grant.</t>
    </r>
  </si>
  <si>
    <r>
      <t>·</t>
    </r>
    <r>
      <rPr>
        <sz val="10"/>
        <color indexed="8"/>
        <rFont val="Arial"/>
        <family val="2"/>
      </rPr>
      <t xml:space="preserve"> It is probable that the economic benefits or service potential associated with the transaction will flow    to the municipality;  </t>
    </r>
  </si>
  <si>
    <r>
      <t>·</t>
    </r>
    <r>
      <rPr>
        <sz val="10"/>
        <color indexed="8"/>
        <rFont val="Arial"/>
        <family val="2"/>
      </rPr>
      <t> The amount of the revenue can be measured reliably; and</t>
    </r>
  </si>
  <si>
    <r>
      <t xml:space="preserve">· </t>
    </r>
    <r>
      <rPr>
        <sz val="10"/>
        <color indexed="8"/>
        <rFont val="Arial"/>
        <family val="2"/>
      </rPr>
      <t>The amount of the revenue can be measured reliably.</t>
    </r>
  </si>
  <si>
    <t>CONDITIONAL GRANTS AND RECEIPTS</t>
  </si>
  <si>
    <t>UNAUTHORISED EXPENDITURE</t>
  </si>
  <si>
    <t>IRREGULAR EXPENDITURE</t>
  </si>
  <si>
    <t>FRUITLESS AND WASTEFUL EXPENDITURE</t>
  </si>
  <si>
    <t>COMPARATIVE INFORMATION</t>
  </si>
  <si>
    <t>RETIREMENT BENEFITS</t>
  </si>
  <si>
    <t xml:space="preserve">CONSUMER DEPOSITS </t>
  </si>
  <si>
    <t>BORROWING COSTS</t>
  </si>
  <si>
    <t>EVENTS AFTER BALANCE SHEET DATE</t>
  </si>
  <si>
    <t>VALUE ADDED TAX</t>
  </si>
  <si>
    <t>TAXATION</t>
  </si>
  <si>
    <t>Roads &amp; Stormwater</t>
  </si>
  <si>
    <t>CERTIFICATION AND APPROVAL</t>
  </si>
  <si>
    <t>BY THE ACCOUNTING OFFICER</t>
  </si>
  <si>
    <t>Votes</t>
  </si>
  <si>
    <t>Shadow</t>
  </si>
  <si>
    <t>Balance</t>
  </si>
  <si>
    <t>of</t>
  </si>
  <si>
    <t>Costs</t>
  </si>
  <si>
    <t>No work had been done in terms of IAS 19 as of yet. Thus the full requirements and steps listed in the previous column must still be performed.</t>
  </si>
  <si>
    <t>(AC 116)</t>
  </si>
  <si>
    <r>
      <t>2)</t>
    </r>
    <r>
      <rPr>
        <sz val="7"/>
        <rFont val="Times New Roman"/>
        <family val="1"/>
      </rPr>
      <t xml:space="preserve">       </t>
    </r>
    <r>
      <rPr>
        <sz val="8"/>
        <rFont val="Arial"/>
        <family val="2"/>
      </rPr>
      <t>The valuations obtained in point 1 above will have to studied and analysed to extract all the relevant information necessary for defined benefit accounting as set out in IAS 19.</t>
    </r>
  </si>
  <si>
    <r>
      <t>3)</t>
    </r>
    <r>
      <rPr>
        <sz val="7"/>
        <rFont val="Times New Roman"/>
        <family val="1"/>
      </rPr>
      <t xml:space="preserve">       </t>
    </r>
    <r>
      <rPr>
        <sz val="8"/>
        <rFont val="Arial"/>
        <family val="2"/>
      </rPr>
      <t>The necessary disclosures in terms of IAS 19 must still be performed.</t>
    </r>
  </si>
  <si>
    <t>IAS 20</t>
  </si>
  <si>
    <t xml:space="preserve">Accounting for government grants </t>
  </si>
  <si>
    <t>Entire standard excluding paragraphs 24 and 26, replaced by GAMAP 12.8, 17.25 and 9.42 – 46.</t>
  </si>
  <si>
    <r>
      <t>1)</t>
    </r>
    <r>
      <rPr>
        <sz val="7"/>
        <rFont val="Times New Roman"/>
        <family val="1"/>
      </rPr>
      <t xml:space="preserve">       </t>
    </r>
    <r>
      <rPr>
        <sz val="8"/>
        <rFont val="Arial"/>
        <family val="2"/>
      </rPr>
      <t>Currently all conditional capital grants received for the purchase of PPE are accounted for in terms of the NT GRAP implementation guidelines dated June 2005 and also GAMAP 9.42 to 46.</t>
    </r>
  </si>
  <si>
    <r>
      <t>1)</t>
    </r>
    <r>
      <rPr>
        <sz val="7"/>
        <rFont val="Times New Roman"/>
        <family val="1"/>
      </rPr>
      <t xml:space="preserve">       </t>
    </r>
    <r>
      <rPr>
        <sz val="8"/>
        <rFont val="Arial"/>
        <family val="2"/>
      </rPr>
      <t>Unbundle the balance on the GGR and transfer it to a deferred income account.</t>
    </r>
  </si>
  <si>
    <r>
      <t>2)</t>
    </r>
    <r>
      <rPr>
        <sz val="7"/>
        <rFont val="Times New Roman"/>
        <family val="1"/>
      </rPr>
      <t xml:space="preserve">       </t>
    </r>
    <r>
      <rPr>
        <sz val="8"/>
        <rFont val="Arial"/>
        <family val="2"/>
      </rPr>
      <t>On receipt of a conditional capital government grant the amount is banked and reflected as a current liability called Unspent Conditional Grants and Receipts. Once the amount is spent in accordance with the grant conditions a transfer is made from the current liability to the Statement of Financial Performance equal to the amount that has been spent during the financial year in accordance with the grant conditions. Thereafter an equal amount is transferred from the Accumulated Surplus to the Government Grant Reserve (GGR) on the statement of Changes in Net Assets. Annually an amount is transferred from the serve to accumulated surplus equal to the amount of depreciation on assets funded from government grants.</t>
    </r>
  </si>
  <si>
    <r>
      <t>2)</t>
    </r>
    <r>
      <rPr>
        <sz val="7"/>
        <rFont val="Times New Roman"/>
        <family val="1"/>
      </rPr>
      <t xml:space="preserve">       </t>
    </r>
    <r>
      <rPr>
        <sz val="8"/>
        <rFont val="Arial"/>
        <family val="2"/>
      </rPr>
      <t>Capital Grants utilised will no longer be transferred to a GGR via the Statement of Financial Performance and the Statement of Changes in Net Assets. Once an amount is utilised it will be transferred directly from the unspent capital conditional grant creditor to a creditor called deferred income. Therefore the GGR (Rederve) will be replaced by a creditor called deferred income.</t>
    </r>
  </si>
  <si>
    <r>
      <t>3)</t>
    </r>
    <r>
      <rPr>
        <sz val="7"/>
        <rFont val="Times New Roman"/>
        <family val="1"/>
      </rPr>
      <t xml:space="preserve">       </t>
    </r>
    <r>
      <rPr>
        <sz val="8"/>
        <rFont val="Arial"/>
        <family val="2"/>
      </rPr>
      <t>On the implementation of IAS 20, unbundled the GGR by transferring the balance to a deferred income account.</t>
    </r>
  </si>
  <si>
    <r>
      <t>3)</t>
    </r>
    <r>
      <rPr>
        <sz val="7"/>
        <rFont val="Times New Roman"/>
        <family val="1"/>
      </rPr>
      <t xml:space="preserve">       </t>
    </r>
    <r>
      <rPr>
        <sz val="8"/>
        <rFont val="Arial"/>
        <family val="2"/>
      </rPr>
      <t xml:space="preserve">In future a transfer will be made from the deferred income account to the Statement of Financial Performance to annually offset the amount of depreciation in respect of assets funded from government grants. The GGR will no longer exist and therefeno transfer from the GGR to the accumulated surplus to offset depreciation will be made on the Statement of Changes in Net Assets. </t>
    </r>
  </si>
  <si>
    <r>
      <t>4)</t>
    </r>
    <r>
      <rPr>
        <sz val="7"/>
        <rFont val="Times New Roman"/>
        <family val="1"/>
      </rPr>
      <t xml:space="preserve">       </t>
    </r>
    <r>
      <rPr>
        <sz val="8"/>
        <rFont val="Arial"/>
        <family val="2"/>
      </rPr>
      <t>For future depreciation charges in respect of assets that have a carrying amount equal to the deferred income account on the date of the unbundling of the GGR, ensure that an amount equal to the depreciation charge is transferred from deferred income to the Statement of Financial Performance.</t>
    </r>
  </si>
  <si>
    <t>IAS 36</t>
  </si>
  <si>
    <t>Impairment of assets</t>
  </si>
  <si>
    <t>(AC 128)</t>
  </si>
  <si>
    <r>
      <t>Ø</t>
    </r>
    <r>
      <rPr>
        <sz val="7"/>
        <rFont val="Times New Roman"/>
        <family val="1"/>
      </rPr>
      <t xml:space="preserve">        </t>
    </r>
    <r>
      <rPr>
        <sz val="8"/>
        <rFont val="Arial"/>
        <family val="2"/>
      </rPr>
      <t>Are technologically obsolete at year end (this can be facilitated by supplying departments with a FAR printout pertaining to major assets showing the remaining useful lives of assets - the departments can then assess and indicate cases where the assessed remaining useful life is shoeter than the remaining yseful life on the fixed asset register.</t>
    </r>
  </si>
  <si>
    <r>
      <t>2)</t>
    </r>
    <r>
      <rPr>
        <sz val="7"/>
        <rFont val="Times New Roman"/>
        <family val="1"/>
      </rPr>
      <t xml:space="preserve"> </t>
    </r>
    <r>
      <rPr>
        <sz val="8"/>
        <rFont val="Arial"/>
        <family val="2"/>
      </rPr>
      <t>Calculate and record impairment losses by determining the difference between the asset’s carrying amount and its recoverable (service) amount where the recoverable amount is less than the asset’s carrying amount.</t>
    </r>
  </si>
  <si>
    <t>IAS 38</t>
  </si>
  <si>
    <t>The entire standard except for the recognition, measurement and disclosure of computer software and website costs (SIC 32) and all other costs are expensed</t>
  </si>
  <si>
    <r>
      <t>1)</t>
    </r>
    <r>
      <rPr>
        <sz val="7"/>
        <rFont val="Times New Roman"/>
        <family val="1"/>
      </rPr>
      <t xml:space="preserve">       </t>
    </r>
    <r>
      <rPr>
        <sz val="8"/>
        <rFont val="Arial"/>
        <family val="2"/>
      </rPr>
      <t>Ensure that all assets that meet the definition of an intangible asset and the recognition criteria for an asset are identified by scrutinising the FAR and capital purchases file.</t>
    </r>
  </si>
  <si>
    <t>The following adjustments will need to be made to the AFS if intangible assets are accounted for in terms of IAS 38:</t>
  </si>
  <si>
    <t>(AC 129)</t>
  </si>
  <si>
    <r>
      <t>2)</t>
    </r>
    <r>
      <rPr>
        <sz val="7"/>
        <rFont val="Times New Roman"/>
        <family val="1"/>
      </rPr>
      <t xml:space="preserve">       </t>
    </r>
    <r>
      <rPr>
        <sz val="8"/>
        <rFont val="Arial"/>
        <family val="2"/>
      </rPr>
      <t xml:space="preserve">Ensure that all intangible assets identified are measured initially at their cost price. </t>
    </r>
    <r>
      <rPr>
        <b/>
        <sz val="8"/>
        <rFont val="Arial"/>
        <family val="2"/>
      </rPr>
      <t xml:space="preserve">Examples </t>
    </r>
    <r>
      <rPr>
        <sz val="8"/>
        <rFont val="Arial"/>
        <family val="2"/>
      </rPr>
      <t>of items which may meet the definition of an intangible asset in the municipal environment are:</t>
    </r>
  </si>
  <si>
    <t>Emergency</t>
  </si>
  <si>
    <t xml:space="preserve">Department </t>
  </si>
  <si>
    <t xml:space="preserve">Supplier </t>
  </si>
  <si>
    <t xml:space="preserve">Reason for deviation </t>
  </si>
  <si>
    <t>Appendix E is a summary of all budget variances with explanations for variances of more than 10% while the detail operating results per department are shown in Appendix D.</t>
  </si>
  <si>
    <t>Own CRR</t>
  </si>
  <si>
    <t>EFF</t>
  </si>
  <si>
    <t>MIG</t>
  </si>
  <si>
    <t>INEP</t>
  </si>
  <si>
    <t>NDM</t>
  </si>
  <si>
    <t>Finance Source</t>
  </si>
  <si>
    <t>Adjustment Budget</t>
  </si>
  <si>
    <t>Actual % of Adjustment Budget</t>
  </si>
  <si>
    <t>Balance at 30 June 2007</t>
  </si>
  <si>
    <t>Donation &amp; Public Contribution Reserve</t>
  </si>
  <si>
    <t>Housing Development Fund</t>
  </si>
  <si>
    <t>Capital Replacement Reserve</t>
  </si>
  <si>
    <t>Revaluation Reserve</t>
  </si>
  <si>
    <t>Accumulated Surplus/ (Deficit)</t>
  </si>
  <si>
    <t>Total</t>
  </si>
  <si>
    <t>STATEMENT OF CHANGES IN NET ASSETS</t>
  </si>
  <si>
    <t>for the year ended 30 June 2007</t>
  </si>
  <si>
    <t>CASH FLOW STATEMENT</t>
  </si>
  <si>
    <t>CASH FLOW FROM OPERATING ACTIVITIES</t>
  </si>
  <si>
    <t>Cash receipted from ratepayers, government and others</t>
  </si>
  <si>
    <t>Cash paid to suppliers and employees</t>
  </si>
  <si>
    <t>17.</t>
  </si>
  <si>
    <t>The objective of the annual financial statements is to be a source of information on the financial position, performance and changes in financial status of the Musina Local Municipality and demonstrates accountability useful to a wide range of users in making economic or political decisions.</t>
  </si>
  <si>
    <t>The Musina Local Municipality are exempted from tax in terms of Section 10(1)cB(i)(ff) of the Income Tax Act.</t>
  </si>
  <si>
    <t>GRAP 13 Leases</t>
  </si>
  <si>
    <t>GRAP 13, 14, 16, 18, 100, 101 and 102. The municipality adheres to the requirements of the comparable GAAP standards, if applicable, except for the exemptions adopted as set out below per standard.</t>
  </si>
  <si>
    <t>See adjustments required as per relevant sections of this document set out below.</t>
  </si>
  <si>
    <t>GRAP 14 Events After the Reporting Date</t>
  </si>
  <si>
    <t>GRAP 16 Investment Property</t>
  </si>
  <si>
    <t>GRAP 17 Property, plant and equipment</t>
  </si>
  <si>
    <t>GRAP 18 Segment Reporting</t>
  </si>
  <si>
    <t>GRAP 19 Provisions, Contingent Liabilities and Contingent Assets</t>
  </si>
  <si>
    <t>GRAP 100 Non Current assets held for sale</t>
  </si>
  <si>
    <t>GRAP 101 Agriculture</t>
  </si>
  <si>
    <t>GRAP 102 Intangible Assets</t>
  </si>
  <si>
    <t>Changes in accounting policies (GRAP 3.14, 19)</t>
  </si>
  <si>
    <t>No action plans are required. Where it is practicable to do so, all changes in accounting policy are dealt with by the municipality retrospectively and disclosed as such in accordance with the requirements of GRAP 3.</t>
  </si>
  <si>
    <t>No adjustments to the AFS are required.</t>
  </si>
  <si>
    <t>GAMAP 09</t>
  </si>
  <si>
    <t>Revenue</t>
  </si>
  <si>
    <t>Initial measurement of fair value; discounting all future receipts using an imputed rate of return (GAMAP 9.12 and SAICA circular 9/06)</t>
  </si>
  <si>
    <t>In terms of GAMAP 9 revenue is measured at the fair value of the consideration received. In most cases the consideration is in the form of cash or cash equivalents and the amount of revenue is the amount of cash or cash equivalents received or receivable.</t>
  </si>
  <si>
    <t>The municipality does not envisage entering into transactions where an interest free credit period is provided to the purchaser of services or goods form the municipality and therefore it is highly unlikely that the municipality will be faced with this type of transaction.</t>
  </si>
  <si>
    <t>GAMAP 12</t>
  </si>
  <si>
    <t>Inventories</t>
  </si>
  <si>
    <t>The entire standard as far as it relates to immovable capital assets inventory that is accounted for in terms of GAMAP17.</t>
  </si>
  <si>
    <t>Currently the municipality does have land and buildings that will be sold within the next twelve months as inventories. No implementation plan needs to be executed to ensure compliance with GAMAP 12.</t>
  </si>
  <si>
    <t>No adjustments will need to be made to the AFS to comply with accounting for inventories land and buildings in terms of GAMAP 12:</t>
  </si>
  <si>
    <t>The entire standard as far as it relates to water stock that was not purchased by the municipality.</t>
  </si>
  <si>
    <t>N/A</t>
  </si>
  <si>
    <t>The municipality does not provide water service.</t>
  </si>
  <si>
    <t>The following adjustments will need to be made to the AFS to comply with accounting for purified water in terms of GAMAP 12:</t>
  </si>
  <si>
    <t>None</t>
  </si>
  <si>
    <t>GAMAP 17</t>
  </si>
  <si>
    <t>Review of useful life of items of PPE recognised in the annual financial statements (GAMAP 17.69 – 71, 77)</t>
  </si>
  <si>
    <r>
      <t>1)</t>
    </r>
    <r>
      <rPr>
        <sz val="7"/>
        <rFont val="Times New Roman"/>
        <family val="1"/>
      </rPr>
      <t xml:space="preserve">       </t>
    </r>
    <r>
      <rPr>
        <sz val="8"/>
        <rFont val="Arial"/>
        <family val="2"/>
      </rPr>
      <t>CFO to issue a memo to all departmental managers at year end to request them to ensure that the remaining useful life of all items of PPE as reflected for assets under their control per the FAR is realistic.</t>
    </r>
  </si>
  <si>
    <t>The following adjustments will need to be made to the AFS if the review of useful lives of PPE result in a change in estimate.</t>
  </si>
  <si>
    <r>
      <t>2)</t>
    </r>
    <r>
      <rPr>
        <sz val="7"/>
        <rFont val="Times New Roman"/>
        <family val="1"/>
      </rPr>
      <t xml:space="preserve">       </t>
    </r>
    <r>
      <rPr>
        <sz val="8"/>
        <rFont val="Arial"/>
        <family val="2"/>
      </rPr>
      <t>Departmental managers should inform the   manager responsible for assets of items of PPE with remaining useful lives shorter or longer than those reflected on the FAR at year end.</t>
    </r>
  </si>
  <si>
    <r>
      <t>1)</t>
    </r>
    <r>
      <rPr>
        <sz val="7"/>
        <rFont val="Times New Roman"/>
        <family val="1"/>
      </rPr>
      <t xml:space="preserve">       </t>
    </r>
    <r>
      <rPr>
        <sz val="8"/>
        <rFont val="Arial"/>
        <family val="2"/>
      </rPr>
      <t>The depreciation charge for the year in which the change in estimate takes place as well as for all other years of the remaining useful life of the asset will be adjusted. This change in accounting treatment will therefore take place prospectively.</t>
    </r>
  </si>
  <si>
    <r>
      <t>3)</t>
    </r>
    <r>
      <rPr>
        <sz val="7"/>
        <rFont val="Times New Roman"/>
        <family val="1"/>
      </rPr>
      <t xml:space="preserve">       </t>
    </r>
    <r>
      <rPr>
        <sz val="8"/>
        <rFont val="Arial"/>
        <family val="2"/>
      </rPr>
      <t>Pass necessary accounting entries and also do necessary disclosure of the change in estimate.</t>
    </r>
  </si>
  <si>
    <r>
      <t>2)</t>
    </r>
    <r>
      <rPr>
        <sz val="7"/>
        <rFont val="Times New Roman"/>
        <family val="1"/>
      </rPr>
      <t xml:space="preserve">       </t>
    </r>
    <r>
      <rPr>
        <sz val="8"/>
        <rFont val="Arial"/>
        <family val="2"/>
      </rPr>
      <t>A note on the change in estimate will be disclosed if the change in estimate is material.</t>
    </r>
  </si>
  <si>
    <t>Review of depreciation method applied to PPE recognised in the annual financial statements(GAMAP 17.62, 77)</t>
  </si>
  <si>
    <r>
      <t>1)</t>
    </r>
    <r>
      <rPr>
        <sz val="7"/>
        <rFont val="Times New Roman"/>
        <family val="1"/>
      </rPr>
      <t xml:space="preserve">       </t>
    </r>
    <r>
      <rPr>
        <sz val="8"/>
        <rFont val="Arial"/>
        <family val="2"/>
      </rPr>
      <t>CFO to issue a memo to all departmental managers at year end to request them to ensure that the depreciation method used to depreciate all items of PPE as reflected as being under their control per the FAR is realistic.</t>
    </r>
  </si>
  <si>
    <t>The following adjustments will need to be made to the AFS if the review of depreciation methods of PPE results in a change in estimate.</t>
  </si>
  <si>
    <r>
      <t>2)</t>
    </r>
    <r>
      <rPr>
        <sz val="7"/>
        <rFont val="Times New Roman"/>
        <family val="1"/>
      </rPr>
      <t xml:space="preserve">       </t>
    </r>
    <r>
      <rPr>
        <sz val="8"/>
        <rFont val="Arial"/>
        <family val="2"/>
      </rPr>
      <t>CFO to review the depreciation method used to depreciate different classes of assets annually to assess its applicability for each class of asset.</t>
    </r>
  </si>
  <si>
    <r>
      <t>1)</t>
    </r>
    <r>
      <rPr>
        <sz val="7"/>
        <rFont val="Times New Roman"/>
        <family val="1"/>
      </rPr>
      <t xml:space="preserve">       </t>
    </r>
    <r>
      <rPr>
        <sz val="8"/>
        <rFont val="Arial"/>
        <family val="2"/>
      </rPr>
      <t>The depreciation charge for the year in which the change in estimate takes place as well as for all other years of the remaining useful life of the asset will be adjusted. This change in accounting treatment will therefore take place prospectivel</t>
    </r>
  </si>
  <si>
    <r>
      <t>3)</t>
    </r>
    <r>
      <rPr>
        <sz val="7"/>
        <rFont val="Times New Roman"/>
        <family val="1"/>
      </rPr>
      <t xml:space="preserve">       </t>
    </r>
    <r>
      <rPr>
        <sz val="8"/>
        <rFont val="Arial"/>
        <family val="2"/>
      </rPr>
      <t>Departmental managers should inform the   manager responsible for assets of items of PPE with remaining useful lives shorter or longer than those reflected on the FAR at year end.</t>
    </r>
  </si>
  <si>
    <r>
      <t>4)</t>
    </r>
    <r>
      <rPr>
        <sz val="7"/>
        <rFont val="Times New Roman"/>
        <family val="1"/>
      </rPr>
      <t xml:space="preserve">       </t>
    </r>
    <r>
      <rPr>
        <sz val="8"/>
        <rFont val="Arial"/>
        <family val="2"/>
      </rPr>
      <t>Pass necessary accounting entries and also do necessary disclosure of the change in estimate.</t>
    </r>
  </si>
  <si>
    <t>Impairment of non-cash generating assets (GAMAP 17.64 – 69, 75(e)(v) - (vi))</t>
  </si>
  <si>
    <r>
      <t>1)</t>
    </r>
    <r>
      <rPr>
        <sz val="7"/>
        <rFont val="Times New Roman"/>
        <family val="1"/>
      </rPr>
      <t xml:space="preserve">       </t>
    </r>
    <r>
      <rPr>
        <sz val="8"/>
        <color indexed="8"/>
        <rFont val="Arial"/>
        <family val="2"/>
      </rPr>
      <t>Identify items of PPE that may have suffered impairment losses at year end by issuing a memo to all departments requesting them to identify assets that:</t>
    </r>
  </si>
  <si>
    <t>The following adjustments will need to be made to the AFS if impairment losses are calculated and disclosed for the first time:</t>
  </si>
  <si>
    <r>
      <t>Ø</t>
    </r>
    <r>
      <rPr>
        <sz val="7"/>
        <rFont val="Times New Roman"/>
        <family val="1"/>
      </rPr>
      <t xml:space="preserve">        </t>
    </r>
    <r>
      <rPr>
        <sz val="8"/>
        <rFont val="Arial"/>
        <family val="2"/>
      </rPr>
      <t>Are in a state of permanent damage at year end (no impairment losses will be recognised in respect of assets damaged that will be repaired after year end);</t>
    </r>
  </si>
  <si>
    <r>
      <t>1)</t>
    </r>
    <r>
      <rPr>
        <sz val="7"/>
        <rFont val="Times New Roman"/>
        <family val="1"/>
      </rPr>
      <t xml:space="preserve">       </t>
    </r>
    <r>
      <rPr>
        <sz val="8"/>
        <rFont val="Arial"/>
        <family val="2"/>
      </rPr>
      <t>The carrying amount of PPE will be reduced.</t>
    </r>
  </si>
  <si>
    <r>
      <t>Ø</t>
    </r>
    <r>
      <rPr>
        <sz val="7"/>
        <rFont val="Times New Roman"/>
        <family val="1"/>
      </rPr>
      <t xml:space="preserve">        </t>
    </r>
    <r>
      <rPr>
        <sz val="8"/>
        <rFont val="Arial"/>
        <family val="2"/>
      </rPr>
      <t>Are stolen at year end (impairment loss is recorded equal to the carrying amount of stolen assets at the date of the theft);</t>
    </r>
  </si>
  <si>
    <r>
      <t>2)</t>
    </r>
    <r>
      <rPr>
        <sz val="7"/>
        <rFont val="Times New Roman"/>
        <family val="1"/>
      </rPr>
      <t xml:space="preserve">       </t>
    </r>
    <r>
      <rPr>
        <sz val="8"/>
        <rFont val="Arial"/>
        <family val="2"/>
      </rPr>
      <t>The reconciliation between the opening and closing balance of  the carrying amount of PPE will have to reflect impairment losses.</t>
    </r>
  </si>
  <si>
    <r>
      <t>Ø</t>
    </r>
    <r>
      <rPr>
        <sz val="7"/>
        <rFont val="Times New Roman"/>
        <family val="1"/>
      </rPr>
      <t xml:space="preserve">        </t>
    </r>
    <r>
      <rPr>
        <sz val="8"/>
        <rFont val="Arial"/>
        <family val="2"/>
      </rPr>
      <t xml:space="preserve">Are technologically obsolete at year end (this can be facilitated by supplying departments with a FAR printout pertaining to major assets showing the remaining useful lives of assets - the departments can then assess and indicate cases where the assessed remaining useful life is shorter than the remaining useful life in the fixed asset register. </t>
    </r>
  </si>
  <si>
    <r>
      <t>3)</t>
    </r>
    <r>
      <rPr>
        <sz val="7"/>
        <rFont val="Times New Roman"/>
        <family val="1"/>
      </rPr>
      <t xml:space="preserve">       </t>
    </r>
    <r>
      <rPr>
        <sz val="8"/>
        <rFont val="Arial"/>
        <family val="2"/>
      </rPr>
      <t>The accounting policy relating to PPE will have to be amended to indicate how the entity deals with and discloses impairment losses.</t>
    </r>
  </si>
  <si>
    <r>
      <t>Ø</t>
    </r>
    <r>
      <rPr>
        <sz val="7"/>
        <rFont val="Times New Roman"/>
        <family val="1"/>
      </rPr>
      <t xml:space="preserve">        </t>
    </r>
    <r>
      <rPr>
        <sz val="8"/>
        <rFont val="Arial"/>
        <family val="2"/>
      </rPr>
      <t>Have remained idle for a considerable period either prior to them being put into use at year end or during their useful life.</t>
    </r>
  </si>
  <si>
    <r>
      <t>4)</t>
    </r>
    <r>
      <rPr>
        <sz val="7"/>
        <rFont val="Times New Roman"/>
        <family val="1"/>
      </rPr>
      <t xml:space="preserve">       </t>
    </r>
    <r>
      <rPr>
        <sz val="8"/>
        <rFont val="Arial"/>
        <family val="2"/>
      </rPr>
      <t>The impairment loss itself should be reflected in the notes to the Statement of Financial Performance, if material.</t>
    </r>
  </si>
  <si>
    <r>
      <t>Ø</t>
    </r>
    <r>
      <rPr>
        <sz val="7"/>
        <rFont val="Times New Roman"/>
        <family val="1"/>
      </rPr>
      <t xml:space="preserve">        </t>
    </r>
    <r>
      <rPr>
        <sz val="8"/>
        <rFont val="Arial"/>
        <family val="2"/>
      </rPr>
      <t>Show that they are not performing according to their specifications or according to industry accepted norms.</t>
    </r>
  </si>
  <si>
    <r>
      <t>5)</t>
    </r>
    <r>
      <rPr>
        <sz val="7"/>
        <rFont val="Times New Roman"/>
        <family val="1"/>
      </rPr>
      <t>       Adgering to al</t>
    </r>
    <r>
      <rPr>
        <sz val="8"/>
        <rFont val="Arial"/>
        <family val="2"/>
      </rPr>
      <t xml:space="preserve"> disclosure requirements.</t>
    </r>
  </si>
  <si>
    <r>
      <t>2)</t>
    </r>
    <r>
      <rPr>
        <sz val="7"/>
        <rFont val="Times New Roman"/>
        <family val="1"/>
      </rPr>
      <t xml:space="preserve">       </t>
    </r>
    <r>
      <rPr>
        <sz val="8"/>
        <rFont val="Arial"/>
        <family val="2"/>
      </rPr>
      <t>Calculate and record impairment losses by determining the difference between the asset’s carrying amount and its recoverable (service) amount where the recoverable amount is less than the asset’s carrying amount.</t>
    </r>
  </si>
  <si>
    <t>Impairment of cash generating assets (GAMAP 17.63, 75(e)(v) – (vi))</t>
  </si>
  <si>
    <r>
      <t>2)</t>
    </r>
    <r>
      <rPr>
        <sz val="7"/>
        <rFont val="Times New Roman"/>
        <family val="1"/>
      </rPr>
      <t xml:space="preserve">       </t>
    </r>
    <r>
      <rPr>
        <sz val="8"/>
        <rFont val="Arial"/>
        <family val="2"/>
      </rPr>
      <t>The reconciliation between the opening and closing balance of the carrying amount of PPE will have to reflect impairment losses.</t>
    </r>
  </si>
  <si>
    <r>
      <t>Ø</t>
    </r>
    <r>
      <rPr>
        <sz val="7"/>
        <rFont val="Times New Roman"/>
        <family val="1"/>
      </rPr>
      <t xml:space="preserve">        </t>
    </r>
    <r>
      <rPr>
        <sz val="8"/>
        <rFont val="Arial"/>
        <family val="2"/>
      </rPr>
      <t>Are technologically obsolete at year end (this can be facilitated by supplying departments with a FAR printout pertaining to major assets showing the remaining useful lives of assets - the departments can then assess and indicate cases where the assessed remaing useful life is shorter than the remaing useful life in the fixed asset register</t>
    </r>
  </si>
  <si>
    <r>
      <t>5)</t>
    </r>
    <r>
      <rPr>
        <sz val="7"/>
        <rFont val="Times New Roman"/>
        <family val="1"/>
      </rPr>
      <t xml:space="preserve">       </t>
    </r>
    <r>
      <rPr>
        <sz val="8"/>
        <rFont val="Arial"/>
        <family val="2"/>
      </rPr>
      <t>All disclosure requirements as required by IAS 36.</t>
    </r>
  </si>
  <si>
    <t>Calculate and record impairment losses by determining the difference between the asset’s carrying amount and its recoverable (service) amount where the recoverable amount is less than the asset’s carrying amount.</t>
  </si>
  <si>
    <t>IAS 11</t>
  </si>
  <si>
    <t>Construction contracts</t>
  </si>
  <si>
    <t>Entire standard</t>
  </si>
  <si>
    <t>The municipality does not enter into construction contracts, where assets are constructed with the purpose of realising a profit on construction activities. Therefore it is estimated that the application of IAS 11 by the municipality will not be necessary, as the municipality does not enter into transactions accounted for in terms of IAS 11.</t>
  </si>
  <si>
    <t>AC 109</t>
  </si>
  <si>
    <t>IAS 14</t>
  </si>
  <si>
    <t>Segment reporting</t>
  </si>
  <si>
    <r>
      <t>1)</t>
    </r>
    <r>
      <rPr>
        <sz val="7"/>
        <rFont val="Times New Roman"/>
        <family val="1"/>
      </rPr>
      <t xml:space="preserve">       </t>
    </r>
    <r>
      <rPr>
        <sz val="8"/>
        <rFont val="Arial"/>
        <family val="2"/>
      </rPr>
      <t>Obtain an understanding of the definitions of business segments and geographical segments as set out in IAS 14.</t>
    </r>
  </si>
  <si>
    <t>The AFS will have to be adjusted to ensure that the disclosure requirements of IAS 14.51 to .67 relating to segment information are met.</t>
  </si>
  <si>
    <t>AC 115</t>
  </si>
  <si>
    <r>
      <t>2)</t>
    </r>
    <r>
      <rPr>
        <sz val="7"/>
        <rFont val="Times New Roman"/>
        <family val="1"/>
      </rPr>
      <t xml:space="preserve">       </t>
    </r>
    <r>
      <rPr>
        <sz val="8"/>
        <rFont val="Arial"/>
        <family val="2"/>
      </rPr>
      <t>Determine the business and geographical segments of the municipality.</t>
    </r>
  </si>
  <si>
    <t>The primary reporting format requires inter alia, disclosure of:</t>
  </si>
  <si>
    <r>
      <t>3)</t>
    </r>
    <r>
      <rPr>
        <sz val="7"/>
        <rFont val="Times New Roman"/>
        <family val="1"/>
      </rPr>
      <t xml:space="preserve">       </t>
    </r>
    <r>
      <rPr>
        <sz val="8"/>
        <rFont val="Arial"/>
        <family val="2"/>
      </rPr>
      <t>Decide on the primary and secondary reporting formats for the entity. Therefore a decision must be made whether business is primary and geographical secondary or vice versa.</t>
    </r>
  </si>
  <si>
    <r>
      <t>1)</t>
    </r>
    <r>
      <rPr>
        <sz val="7"/>
        <rFont val="Times New Roman"/>
        <family val="1"/>
      </rPr>
      <t xml:space="preserve">       </t>
    </r>
    <r>
      <rPr>
        <sz val="8"/>
        <rFont val="Arial"/>
        <family val="2"/>
      </rPr>
      <t>Segment revenue for every reportable segment.</t>
    </r>
  </si>
  <si>
    <t>All the applicable sections regarding the disclosure requirements relating to Financial Instruments as set out in IFRS 7 are adhered to by the municipality, as IAS 32 includes the relevant disclosures that is required by IFRS 7.</t>
  </si>
  <si>
    <t>(AC 144)</t>
  </si>
  <si>
    <r>
      <t>a)</t>
    </r>
    <r>
      <rPr>
        <b/>
        <sz val="10"/>
        <color indexed="8"/>
        <rFont val="Arial"/>
        <family val="2"/>
      </rPr>
      <t> Capitalisation Reserve</t>
    </r>
  </si>
  <si>
    <t>b)  Government Grant Reserve</t>
  </si>
  <si>
    <r>
      <t>c)</t>
    </r>
    <r>
      <rPr>
        <b/>
        <sz val="10"/>
        <color indexed="8"/>
        <rFont val="Arial"/>
        <family val="2"/>
      </rPr>
      <t> Donations and Public Contributions Reserve</t>
    </r>
  </si>
  <si>
    <t>When the outcome of a transaction can be estimated reliably relating to the rendering of a service, revenue associated with the transaction shall be recognised by reference to the stage of completion of the transaction at the reporting date.</t>
  </si>
  <si>
    <t>The outcome of the transaction can be measured reliably when all of the following conditions are satisfied:</t>
  </si>
  <si>
    <t>This principle also applies to tariffs or charges.</t>
  </si>
  <si>
    <t>When the outcome of the transaction involving the rendering of services cannot be estimated reliably, revenue shall be recognised only to the extent of the expenses that are recoverable.</t>
  </si>
  <si>
    <t>Sale of goods</t>
  </si>
  <si>
    <t>Revenue from the sale of goods shall be recognised when all the following conditions have been satisfied:</t>
  </si>
  <si>
    <t>Loans and receivables are classified as “trade and other receivables” in the Statement of Financial Position.</t>
  </si>
  <si>
    <t>Donations are recognised on a cash receipt basis or where the donation is in the form of property, plant and equipment are brought into use.</t>
  </si>
  <si>
    <t>Revenue from public contributions is recognised when all conditions have been met or where the contribution to property, plant and equipment is recognised when such items of property, plant and equipment are brought into use.</t>
  </si>
  <si>
    <t>Where public contributions have been received but the conditions were not met, a liability is recognised.</t>
  </si>
  <si>
    <t>Levies</t>
  </si>
  <si>
    <t>Levies shall be recognised as revenue when:</t>
  </si>
  <si>
    <t>Interest, royalties and dividends</t>
  </si>
  <si>
    <t>Revenue arising from the use of assets by others of the municipal assets yielding interest royalties and dividends shall be recognised when:</t>
  </si>
  <si>
    <t>Interest shall be recognised on a time proportionate basis that takes into account the effective yield on the asset;</t>
  </si>
  <si>
    <t>Assessment rates income is recognised once a rates account has been issued to ratepayers.  Adjustments or interim rates are recognised once the municipal valuer has valued the change to properties.</t>
  </si>
  <si>
    <t>Service charges</t>
  </si>
  <si>
    <t>Flat rate service charges and consumption-based service charges shall be recognised when:</t>
  </si>
  <si>
    <t xml:space="preserve">Service charges relating to electricity and water are based on consumption. Meters are read on a monthly basis and are recognised as revenue when invoiced.  Provisional estimates of consumptions are made monthly when meter readings have not been performed and are recognised as revenue when invoiced.  Adjustments to provisional estimates of consumption are made in the invoicing period in which meters have been read.  </t>
  </si>
  <si>
    <t>Revenue from the sale of electricity prepaid meter credit is recognised at the point of sale.</t>
  </si>
  <si>
    <t>Based on the decision of the entity whether business or geographical segments are the primary reporting format, the secondary reporting format requirements as set out in IAS 14 will also need to be disclosed in the AFS.</t>
  </si>
  <si>
    <t>IAS17</t>
  </si>
  <si>
    <t>Recognising operating lease payments / receipts on a straight-line basis if the amounts are recognised on the basis of the cash flows in the lease agreement (IAS 17.33 – 34 and 50 – 51 and SAICA circular 12/06.8 – 11)</t>
  </si>
  <si>
    <r>
      <t>1)</t>
    </r>
    <r>
      <rPr>
        <sz val="7"/>
        <rFont val="Times New Roman"/>
        <family val="1"/>
      </rPr>
      <t xml:space="preserve">     </t>
    </r>
    <r>
      <rPr>
        <sz val="8"/>
        <rFont val="Arial"/>
        <family val="2"/>
      </rPr>
      <t>The municipality must obtain copies of all existing current lease agreements.</t>
    </r>
  </si>
  <si>
    <t>The following adjustments will need to be made to the AFS if operating lease payments are straight lined as opposed to accounting for them based on cash flows:</t>
  </si>
  <si>
    <t>AC 105</t>
  </si>
  <si>
    <r>
      <t>2)</t>
    </r>
    <r>
      <rPr>
        <sz val="7"/>
        <rFont val="Times New Roman"/>
        <family val="1"/>
      </rPr>
      <t xml:space="preserve">     </t>
    </r>
    <r>
      <rPr>
        <sz val="8"/>
        <rFont val="Arial"/>
        <family val="2"/>
      </rPr>
      <t>For each lease agreement the municipality must distinguish each lease as a Finance Leases or an Operating Lease.</t>
    </r>
  </si>
  <si>
    <t>825/825/8410</t>
  </si>
  <si>
    <t>Dbsa</t>
  </si>
  <si>
    <t>Managers</t>
  </si>
  <si>
    <t>825/825/8415</t>
  </si>
  <si>
    <t>plant</t>
  </si>
  <si>
    <t>aerot</t>
  </si>
  <si>
    <t>825/825/8420</t>
  </si>
  <si>
    <t>825/825/8425</t>
  </si>
  <si>
    <t>825/825/8426</t>
  </si>
  <si>
    <t>MUN</t>
  </si>
  <si>
    <t>BUILDING</t>
  </si>
  <si>
    <t>PHA</t>
  </si>
  <si>
    <t>825/825/8427</t>
  </si>
  <si>
    <t>INFRASTRUCT</t>
  </si>
  <si>
    <t>825/825/8431</t>
  </si>
  <si>
    <t>(Civic</t>
  </si>
  <si>
    <t>835/835/8500</t>
  </si>
  <si>
    <t>835/836/8505</t>
  </si>
  <si>
    <t>Posters</t>
  </si>
  <si>
    <t>hall</t>
  </si>
  <si>
    <t>840/840/8200</t>
  </si>
  <si>
    <t>840/840/8204</t>
  </si>
  <si>
    <t>Working</t>
  </si>
  <si>
    <t>(B</t>
  </si>
  <si>
    <t>840/840/8205</t>
  </si>
  <si>
    <t>Investments held-to-maturity</t>
  </si>
  <si>
    <t>Directly attributable costs include the following:</t>
  </si>
  <si>
    <t>Cost of site preparation.</t>
  </si>
  <si>
    <t>Initial delivery and handling costs.</t>
  </si>
  <si>
    <t>Installation cost.</t>
  </si>
  <si>
    <t>Professional fees.</t>
  </si>
  <si>
    <t>Estimated cost of dismantling the asset.</t>
  </si>
  <si>
    <t xml:space="preserve">The cost of an item of property, plant and equipment acquired in exchange for a non-monetary asset or monetary assets, or a combination of monetary and non-monetary assets was measured at its fair value.  If the acquired item could not be measured at its fair value, its cost was measured at the carrying amount of the asset given up.  </t>
  </si>
  <si>
    <t>Subsequent expenditure is capitalised when the recognition and measurement criteria of an asset are met.  If expenditure only restores the originally best estimate of the expected useful life of the asset, then it is regarded as repairs and maintenance and is expensed.</t>
  </si>
  <si>
    <t>Where an item of property, plant and equipment is acquired at no cost, it is initially recognised at its fair value as at the date of acquisition.</t>
  </si>
  <si>
    <t>Incomplete construction work is stated at historical cost and depreciated only when the asset is commissioned into use, and are accounted for in accordance with the exemptions in terms of Gazette 30013 of 29 June 2007.</t>
  </si>
  <si>
    <t xml:space="preserve">The gain or loss arising on the disposal or retirement of an item of property, plant and equipment is determined as the difference between the sales proceeds and the carrying value and is recognised in the Statement of Financial Performance. </t>
  </si>
  <si>
    <t>Residual value</t>
  </si>
  <si>
    <t>The residual value of an asset is determined as the estimate amount that could currently be obtained from the disposal of the asset.  The residual values of assets are reviewed at each financial year end.</t>
  </si>
  <si>
    <t>Depreciation is calculated at historical cost, using the straight-line method over the useful lives of the asset.  Assets will be depreciated according to their annual depreciation rates based on the following estimated asset lives:</t>
  </si>
  <si>
    <t>Land is not depreciated as it is regarded as having an infinite life.</t>
  </si>
  <si>
    <t>Accounting policy for 2005/2006 financial year</t>
  </si>
  <si>
    <t>Study donations</t>
  </si>
  <si>
    <t>Long term long service</t>
  </si>
  <si>
    <t>Municipal Golf day</t>
  </si>
  <si>
    <t>IEC Voters Education</t>
  </si>
  <si>
    <t>Transferred to Non-current provision: Long Service</t>
  </si>
  <si>
    <t>Tshunani Construction CC</t>
  </si>
  <si>
    <t>JP (Hannes) du Toit</t>
  </si>
  <si>
    <t>A list of possible asset claims where outcome was unknown at year end</t>
  </si>
  <si>
    <t>Changes in accounting policy (note 38)</t>
  </si>
  <si>
    <t>Pre  GAMAP Funds and Reserves</t>
  </si>
  <si>
    <t>Cleanest Town Competition</t>
  </si>
  <si>
    <t>Amount (VAT incl) R</t>
  </si>
  <si>
    <t xml:space="preserve">Council General </t>
  </si>
  <si>
    <t>Black Chain Entertainment</t>
  </si>
  <si>
    <t>catering</t>
  </si>
  <si>
    <t>Rivoningo Media and Communication</t>
  </si>
  <si>
    <t>sound and stage</t>
  </si>
  <si>
    <t>Denga David</t>
  </si>
  <si>
    <t>Catering</t>
  </si>
  <si>
    <t>stores</t>
  </si>
  <si>
    <t>Conlog</t>
  </si>
  <si>
    <t xml:space="preserve">Sole provider </t>
  </si>
  <si>
    <t>Maphaha Recording studio</t>
  </si>
  <si>
    <t>RDP</t>
  </si>
  <si>
    <t>Memo</t>
  </si>
  <si>
    <t>ZJM Music Production</t>
  </si>
  <si>
    <t>Rdp</t>
  </si>
  <si>
    <t>A Mafokate</t>
  </si>
  <si>
    <t>LCW frames limpopo</t>
  </si>
  <si>
    <t>cable</t>
  </si>
  <si>
    <t>Technical services</t>
  </si>
  <si>
    <t>Gordonia Construction &amp; Maintenance</t>
  </si>
  <si>
    <t>MES Enginering</t>
  </si>
  <si>
    <t>Sole provider immediat repairs</t>
  </si>
  <si>
    <t>Electrical Motor Rewiring</t>
  </si>
  <si>
    <t>Information Technoligy</t>
  </si>
  <si>
    <t>The Computer shop</t>
  </si>
  <si>
    <t>memo</t>
  </si>
  <si>
    <t>Mega bus &amp; coach</t>
  </si>
  <si>
    <t>Black Chain Entertainmemt</t>
  </si>
  <si>
    <t>MES Engineering</t>
  </si>
  <si>
    <t>Vehicle Registration</t>
  </si>
  <si>
    <t>Lithotech sales pretoria</t>
  </si>
  <si>
    <t>Spray Air Services</t>
  </si>
  <si>
    <t>paint roads</t>
  </si>
  <si>
    <t>Cascade control cc</t>
  </si>
  <si>
    <t>Chauke Horticultural Services</t>
  </si>
  <si>
    <t>Kunswerke - hoe nie prosedure te volg nie sect in procrement</t>
  </si>
  <si>
    <t>Council General</t>
  </si>
  <si>
    <t>M Mkhumbudzi</t>
  </si>
  <si>
    <t>Pechi Hospitality serv</t>
  </si>
  <si>
    <t>Othilia services</t>
  </si>
  <si>
    <t>Stanmad Project</t>
  </si>
  <si>
    <t>Black entertainment centre</t>
  </si>
  <si>
    <t>refreshments</t>
  </si>
  <si>
    <t>Messina Toyota</t>
  </si>
  <si>
    <t>Urgent repairs for roadworthy test</t>
  </si>
  <si>
    <t>Mwmo</t>
  </si>
  <si>
    <t>845/846/8625</t>
  </si>
  <si>
    <t>INSURANCE</t>
  </si>
  <si>
    <t>CLAIM</t>
  </si>
  <si>
    <t>(C</t>
  </si>
  <si>
    <t>845/846/8626</t>
  </si>
  <si>
    <t>upgrade</t>
  </si>
  <si>
    <t>845/846/8627</t>
  </si>
  <si>
    <t>Ext</t>
  </si>
  <si>
    <t>C</t>
  </si>
  <si>
    <t>845/846/8628</t>
  </si>
  <si>
    <t>845/846/8629</t>
  </si>
  <si>
    <t>Contruction</t>
  </si>
  <si>
    <t>845/846/8630</t>
  </si>
  <si>
    <t>ART</t>
  </si>
  <si>
    <t>CULTURE</t>
  </si>
  <si>
    <t>PROJ</t>
  </si>
  <si>
    <t>845/846/8631</t>
  </si>
  <si>
    <t>PHP</t>
  </si>
  <si>
    <t>845/846/8635</t>
  </si>
  <si>
    <t>TOILETS</t>
  </si>
  <si>
    <t>NANCEFIELD</t>
  </si>
  <si>
    <t>845/846/8636</t>
  </si>
  <si>
    <t>ELECTRICAL</t>
  </si>
  <si>
    <t>INFRAST</t>
  </si>
  <si>
    <t>875/875/8985</t>
  </si>
  <si>
    <t>Shares</t>
  </si>
  <si>
    <t>Entity</t>
  </si>
  <si>
    <t>875/875/8991</t>
  </si>
  <si>
    <t>FNB</t>
  </si>
  <si>
    <t>875/875/8992</t>
  </si>
  <si>
    <t>Standard</t>
  </si>
  <si>
    <t>875/875/8993</t>
  </si>
  <si>
    <t>ABSA</t>
  </si>
  <si>
    <t>875/875/8994</t>
  </si>
  <si>
    <t>875/875/8995</t>
  </si>
  <si>
    <t>875/875/8996</t>
  </si>
  <si>
    <t>875/875/8997</t>
  </si>
  <si>
    <t>Day</t>
  </si>
  <si>
    <t>call</t>
  </si>
  <si>
    <t>40-6760-9</t>
  </si>
  <si>
    <t>875/875/8998</t>
  </si>
  <si>
    <t>875/875/8999</t>
  </si>
  <si>
    <t>875/875/9000</t>
  </si>
  <si>
    <t>880/880/8025</t>
  </si>
  <si>
    <t>Trading</t>
  </si>
  <si>
    <t>880/880/8029</t>
  </si>
  <si>
    <t>G</t>
  </si>
  <si>
    <t>Suspense</t>
  </si>
  <si>
    <t>883/883/8380</t>
  </si>
  <si>
    <t>IGG</t>
  </si>
  <si>
    <t>Sh</t>
  </si>
  <si>
    <t>883/883/8604</t>
  </si>
  <si>
    <t>883/883/8650</t>
  </si>
  <si>
    <t>Salary</t>
  </si>
  <si>
    <t>Acc</t>
  </si>
  <si>
    <t>883/883/8830</t>
  </si>
  <si>
    <t>Festival</t>
  </si>
  <si>
    <t>883/883/8835</t>
  </si>
  <si>
    <t>883/883/8840</t>
  </si>
  <si>
    <t>883/883/8855</t>
  </si>
  <si>
    <t>883/883/8865</t>
  </si>
  <si>
    <t>Centenery</t>
  </si>
  <si>
    <t>Celebrat</t>
  </si>
  <si>
    <t>883/883/8866</t>
  </si>
  <si>
    <t>LOTTO</t>
  </si>
  <si>
    <t>HIGH</t>
  </si>
  <si>
    <t>883/883/8867</t>
  </si>
  <si>
    <t>ERIC</t>
  </si>
  <si>
    <t>LOUW</t>
  </si>
  <si>
    <t>HI</t>
  </si>
  <si>
    <t>883/883/8868</t>
  </si>
  <si>
    <t>RIXILE</t>
  </si>
  <si>
    <t>PRIMA</t>
  </si>
  <si>
    <t>883/883/8869</t>
  </si>
  <si>
    <t>BONWA</t>
  </si>
  <si>
    <t>UDI</t>
  </si>
  <si>
    <t>PR</t>
  </si>
  <si>
    <t>883/883/8870</t>
  </si>
  <si>
    <t>MAKUSHU</t>
  </si>
  <si>
    <t>PRIM</t>
  </si>
  <si>
    <t>883/883/8871</t>
  </si>
  <si>
    <t>LOWER</t>
  </si>
  <si>
    <t>883/883/8872</t>
  </si>
  <si>
    <t>MARTIN</t>
  </si>
  <si>
    <t>DE</t>
  </si>
  <si>
    <t>PO</t>
  </si>
  <si>
    <t>883/883/8873</t>
  </si>
  <si>
    <t>MALALE</t>
  </si>
  <si>
    <t>883/883/8874</t>
  </si>
  <si>
    <t>MADIMBO</t>
  </si>
  <si>
    <t>883/883/8875</t>
  </si>
  <si>
    <t>MAROI</t>
  </si>
  <si>
    <t>PRIMAR</t>
  </si>
  <si>
    <t>883/883/8876</t>
  </si>
  <si>
    <t>DOREEN</t>
  </si>
  <si>
    <t>(MIXE</t>
  </si>
  <si>
    <t>883/883/8877</t>
  </si>
  <si>
    <t>KRANENBERG</t>
  </si>
  <si>
    <t>883/883/8878</t>
  </si>
  <si>
    <t>RAMANA</t>
  </si>
  <si>
    <t>883/883/8879</t>
  </si>
  <si>
    <t>MAPANI</t>
  </si>
  <si>
    <t>883/883/8880</t>
  </si>
  <si>
    <t>STADIUM</t>
  </si>
  <si>
    <t>883/883/8881</t>
  </si>
  <si>
    <t>883/883/8882</t>
  </si>
  <si>
    <t>WORKSHOPS</t>
  </si>
  <si>
    <t>883/883/8883</t>
  </si>
  <si>
    <t>Creditor</t>
  </si>
  <si>
    <t>883/883/8884</t>
  </si>
  <si>
    <t>Beers</t>
  </si>
  <si>
    <t>Cleanin</t>
  </si>
  <si>
    <t>883/883/8885</t>
  </si>
  <si>
    <t>Over</t>
  </si>
  <si>
    <t>expenditure</t>
  </si>
  <si>
    <t>883/884/8170</t>
  </si>
  <si>
    <t>883/884/8603</t>
  </si>
  <si>
    <t>883/884/8702</t>
  </si>
  <si>
    <t>controle</t>
  </si>
  <si>
    <t>889/889/8435</t>
  </si>
  <si>
    <t>889/889/8440</t>
  </si>
  <si>
    <t>889/889/8445</t>
  </si>
  <si>
    <t>out</t>
  </si>
  <si>
    <t>o</t>
  </si>
  <si>
    <t>889/889/8450</t>
  </si>
  <si>
    <t>889/889/8455</t>
  </si>
  <si>
    <t>Loans</t>
  </si>
  <si>
    <t>Repayment</t>
  </si>
  <si>
    <t>889/889/8460</t>
  </si>
  <si>
    <t>Ra</t>
  </si>
  <si>
    <t>889/889/8465</t>
  </si>
  <si>
    <t>Contributio</t>
  </si>
  <si>
    <t>889/889/8470</t>
  </si>
  <si>
    <t>889/889/8475</t>
  </si>
  <si>
    <t>891/891/4050</t>
  </si>
  <si>
    <t>Receipt</t>
  </si>
  <si>
    <t>891/891/8130</t>
  </si>
  <si>
    <t>Section</t>
  </si>
  <si>
    <t>79(18)</t>
  </si>
  <si>
    <t>Tar</t>
  </si>
  <si>
    <t>891/891/8135</t>
  </si>
  <si>
    <t>sale</t>
  </si>
  <si>
    <t>st</t>
  </si>
  <si>
    <t>891/891/8140</t>
  </si>
  <si>
    <t>891/891/8910</t>
  </si>
  <si>
    <t>Cashiers</t>
  </si>
  <si>
    <t>Over/Unde</t>
  </si>
  <si>
    <t>891/892/0180</t>
  </si>
  <si>
    <t>R/D</t>
  </si>
  <si>
    <t>Cheque</t>
  </si>
  <si>
    <t>891/892/1380</t>
  </si>
  <si>
    <t>891/892/1385</t>
  </si>
  <si>
    <t>MIS</t>
  </si>
  <si>
    <t>891/892/1390</t>
  </si>
  <si>
    <t>DORMAND</t>
  </si>
  <si>
    <t>ACC</t>
  </si>
  <si>
    <t>STANDA</t>
  </si>
  <si>
    <t>891/892/8140</t>
  </si>
  <si>
    <t>District</t>
  </si>
  <si>
    <t>Mu</t>
  </si>
  <si>
    <t>891/892/8145</t>
  </si>
  <si>
    <t>Lost</t>
  </si>
  <si>
    <t>891/892/8146</t>
  </si>
  <si>
    <t>ACCOUNT</t>
  </si>
  <si>
    <t>FN</t>
  </si>
  <si>
    <t>Cash</t>
  </si>
  <si>
    <t>899/899/7000</t>
  </si>
  <si>
    <t>(Nanc</t>
  </si>
  <si>
    <t>stadium</t>
  </si>
  <si>
    <t>899/899/8000</t>
  </si>
  <si>
    <t>(MLM</t>
  </si>
  <si>
    <t>ARTS</t>
  </si>
  <si>
    <t>A</t>
  </si>
  <si>
    <t>899/899/8975</t>
  </si>
  <si>
    <t>Petty</t>
  </si>
  <si>
    <t>899/899/8999</t>
  </si>
  <si>
    <t>TRANSFER</t>
  </si>
  <si>
    <t>TABLE</t>
  </si>
  <si>
    <t>900/900/9000</t>
  </si>
  <si>
    <t>CONTROL</t>
  </si>
  <si>
    <t>STORES</t>
  </si>
  <si>
    <t>901/901/9001</t>
  </si>
  <si>
    <t>TAKE-</t>
  </si>
  <si>
    <t>PURCHASES</t>
  </si>
  <si>
    <t>902/902/9002</t>
  </si>
  <si>
    <t>902/902/9003</t>
  </si>
  <si>
    <t>STATIONERY</t>
  </si>
  <si>
    <t>PURCHAS</t>
  </si>
  <si>
    <t>902/902/9025</t>
  </si>
  <si>
    <t>ISSUES</t>
  </si>
  <si>
    <t>903/903/9003</t>
  </si>
  <si>
    <t>OVER/UNDER</t>
  </si>
  <si>
    <t>904/904/9004</t>
  </si>
  <si>
    <t>ACCOUNTS</t>
  </si>
  <si>
    <t>PAYABLE</t>
  </si>
  <si>
    <t>905/905/9005</t>
  </si>
  <si>
    <t>T</t>
  </si>
  <si>
    <t>906/906/9006</t>
  </si>
  <si>
    <t>TAX</t>
  </si>
  <si>
    <t>907/907/9007</t>
  </si>
  <si>
    <t>Municipal Infrastructure Grant (MIG)</t>
  </si>
  <si>
    <t>Public Contribution Reserve</t>
  </si>
  <si>
    <t>Non current Provision : Longservice</t>
  </si>
  <si>
    <t xml:space="preserve">LEASE COMPUTERS </t>
  </si>
  <si>
    <t>Advance payment pre-paid</t>
  </si>
  <si>
    <t>Toilelet Nancefield Ext 7</t>
  </si>
  <si>
    <t>Infrastructure Assets</t>
  </si>
  <si>
    <t>Revaluation - Assets</t>
  </si>
  <si>
    <t>LEASE XEROX</t>
  </si>
  <si>
    <t>Business</t>
  </si>
  <si>
    <t>Right of way</t>
  </si>
  <si>
    <t>Public Open  Spaces</t>
  </si>
  <si>
    <t>Educational</t>
  </si>
  <si>
    <t>Churches</t>
  </si>
  <si>
    <t>Institutional</t>
  </si>
  <si>
    <t>MOENIE HIERDIE LINK NIE DIT IS NIE ACTUALS NIE DIT IS BILLING</t>
  </si>
  <si>
    <t>SONDER DIE ALLOCATED INCOME</t>
  </si>
  <si>
    <t>ALLOCATED INCOME LE OP DIE TRIAL BALANCE INGESLUIT</t>
  </si>
  <si>
    <t>electr</t>
  </si>
  <si>
    <t>refuse</t>
  </si>
  <si>
    <t>trial balance</t>
  </si>
  <si>
    <t>allocated income</t>
  </si>
  <si>
    <t>UNSPEND CONDITIONAL GRANTS FROM GOVERNMENT</t>
  </si>
  <si>
    <t>066/380/1111</t>
  </si>
  <si>
    <t xml:space="preserve">BY THE MUNICIPAL MANAGER </t>
  </si>
  <si>
    <t>ON COUNCILLORS’ REMUNERATION</t>
  </si>
  <si>
    <t>MUNICIPAL MANAGER</t>
  </si>
  <si>
    <t>Local government stock</t>
  </si>
  <si>
    <t>Annuity loan</t>
  </si>
  <si>
    <t>Lease liability</t>
  </si>
  <si>
    <t>External loan cost</t>
  </si>
  <si>
    <t>BULK PURCHASES</t>
  </si>
  <si>
    <t>Electricity losses</t>
  </si>
  <si>
    <t>GRANT AND SUBSIDIES PAID</t>
  </si>
  <si>
    <t>Disclosure in terms of the MFMA, 2003, Section 123(I)(b).</t>
  </si>
  <si>
    <t>CORRECTION OF ERROR</t>
  </si>
  <si>
    <t>Correction on depreciation</t>
  </si>
  <si>
    <t>Correction on offsetting of depreciation</t>
  </si>
  <si>
    <t>Net effect on surplus/(deficit) for the year</t>
  </si>
  <si>
    <t>CASH GENERATED FROM/(UTILISED IN) OPERATIONS</t>
  </si>
  <si>
    <t>Depreciation charges</t>
  </si>
  <si>
    <t>Contributions to bad debt</t>
  </si>
  <si>
    <t>Non-operating income</t>
  </si>
  <si>
    <t>Non-operating expenditure</t>
  </si>
  <si>
    <t>Operating surplus before working capital changes</t>
  </si>
  <si>
    <t>(Increase)/decrease in inventories</t>
  </si>
  <si>
    <t>(Increase)/decrease in debtors</t>
  </si>
  <si>
    <t>(Increase)/decrease in other debtors</t>
  </si>
  <si>
    <t>Increase/(decrease) in creditors</t>
  </si>
  <si>
    <t>Cash generated by operations</t>
  </si>
  <si>
    <t>UTILISATION OF LONG TERM LIABILITIES RECONCILIATION</t>
  </si>
  <si>
    <t>Long term liabilities (see note 4)</t>
  </si>
  <si>
    <t>Used to finance property, plant and equipment at cost</t>
  </si>
  <si>
    <t>Cash set aside for the repayment of long term liabilities (see note 11)</t>
  </si>
  <si>
    <t>Cash set aside for the acquiring of property, plant &amp; equipment</t>
  </si>
  <si>
    <t>Cash invested for the repayment of long term liabilities</t>
  </si>
  <si>
    <t>CAPITAL COMMITMENTS</t>
  </si>
  <si>
    <t>Commitments in respect of capital expenditure:</t>
  </si>
  <si>
    <t>Approved and contracted for</t>
  </si>
  <si>
    <t>Infrastructure</t>
  </si>
  <si>
    <t>Community assets</t>
  </si>
  <si>
    <t>082/161/1300</t>
  </si>
  <si>
    <t>082/040/0223</t>
  </si>
  <si>
    <t>Funding(Lo</t>
  </si>
  <si>
    <t>082/041/0256</t>
  </si>
  <si>
    <t>082/070/0134</t>
  </si>
  <si>
    <t>082/380/1111</t>
  </si>
  <si>
    <t>082/380/1215</t>
  </si>
  <si>
    <t>082/390/1231</t>
  </si>
  <si>
    <t>082/400/1241</t>
  </si>
  <si>
    <r>
      <t>·</t>
    </r>
    <r>
      <rPr>
        <sz val="10"/>
        <color indexed="8"/>
        <rFont val="Arial"/>
        <family val="2"/>
      </rPr>
      <t>         The difference between the net book value of assets (cost less accumulated depreciation) and the sales proceeds is reflected as a gain or loss in the Statement of Financial Performance.</t>
    </r>
  </si>
  <si>
    <r>
      <t>·</t>
    </r>
    <r>
      <rPr>
        <sz val="10"/>
        <color indexed="8"/>
        <rFont val="Arial"/>
        <family val="2"/>
      </rPr>
      <t>         Joint Municipal Pension Fund</t>
    </r>
  </si>
  <si>
    <r>
      <t>·</t>
    </r>
    <r>
      <rPr>
        <sz val="10"/>
        <color indexed="8"/>
        <rFont val="Arial"/>
        <family val="2"/>
      </rPr>
      <t>         Municipal Employees Pension Fund</t>
    </r>
  </si>
  <si>
    <r>
      <t>·</t>
    </r>
    <r>
      <rPr>
        <sz val="10"/>
        <color indexed="8"/>
        <rFont val="Arial"/>
        <family val="2"/>
      </rPr>
      <t>         Municipal Gratuity Fund</t>
    </r>
  </si>
  <si>
    <r>
      <t>·</t>
    </r>
    <r>
      <rPr>
        <sz val="10"/>
        <color indexed="8"/>
        <rFont val="Arial"/>
        <family val="2"/>
      </rPr>
      <t>         SALA Pension Fund</t>
    </r>
  </si>
  <si>
    <t>a)      Defined contribution plans</t>
  </si>
  <si>
    <t>b)      Post employment medical care benefits</t>
  </si>
  <si>
    <t>OBJECTIVE</t>
  </si>
  <si>
    <t>BASIS OF PRESENTATION</t>
  </si>
  <si>
    <t>GRAP 1: Presentation of financial statements.</t>
  </si>
  <si>
    <t>GRAP 2: Cash flow statements.</t>
  </si>
  <si>
    <t>GRAP 3: Accounting policies, changes in accounting estimates and errors.</t>
  </si>
  <si>
    <t>GAMAP 4: Effects of changes in foreign exchange rates.</t>
  </si>
  <si>
    <t>GAMAP 6: Consolidated financial statements and accounting for controlled entities.</t>
  </si>
  <si>
    <t>GAMAP 9: Revenue.</t>
  </si>
  <si>
    <t>GAMAP 7: Accounting for investments in associates.</t>
  </si>
  <si>
    <t>GAMAP 8: Financial reporting of interests in joint ventures.</t>
  </si>
  <si>
    <t>GAMAP 12: Inventories.</t>
  </si>
  <si>
    <t>GAMAP 17: Property, plant and equipment.</t>
  </si>
  <si>
    <t>GAMAP 19: Provisions, contingent liabilities and contingent assets.</t>
  </si>
  <si>
    <t xml:space="preserve"> PRESENTATION CURRENCY</t>
  </si>
  <si>
    <t>GOING CONCERN ASSUMPTION</t>
  </si>
  <si>
    <t xml:space="preserve"> INTANGIBLE ASSETS</t>
  </si>
  <si>
    <t>1.10</t>
  </si>
  <si>
    <t>FINANCIAL INSTRUMENTS</t>
  </si>
  <si>
    <t>1.11</t>
  </si>
  <si>
    <t xml:space="preserve"> INVENTORY</t>
  </si>
  <si>
    <t>1.12</t>
  </si>
  <si>
    <t>TRADE CREDITORS</t>
  </si>
  <si>
    <t>REVENUE RECOGNITION</t>
  </si>
  <si>
    <r>
      <t xml:space="preserve">· </t>
    </r>
    <r>
      <rPr>
        <sz val="10"/>
        <color indexed="8"/>
        <rFont val="Arial"/>
        <family val="2"/>
      </rPr>
      <t xml:space="preserve"> The amount of revenue can be measured reliably;</t>
    </r>
  </si>
  <si>
    <r>
      <t>·</t>
    </r>
    <r>
      <rPr>
        <sz val="10"/>
        <color indexed="8"/>
        <rFont val="Arial"/>
        <family val="2"/>
      </rPr>
      <t> The stage of completion of the transaction at the reporting date can be measured reliably;  and</t>
    </r>
  </si>
  <si>
    <r>
      <t>·</t>
    </r>
    <r>
      <rPr>
        <sz val="10"/>
        <color indexed="8"/>
        <rFont val="Arial"/>
        <family val="2"/>
      </rPr>
      <t>  It is probable that the economic benefits or services potential associated with the transaction will       flow to the entity;</t>
    </r>
  </si>
  <si>
    <r>
      <t>·</t>
    </r>
    <r>
      <rPr>
        <sz val="10"/>
        <color indexed="8"/>
        <rFont val="Arial"/>
        <family val="2"/>
      </rPr>
      <t> The cost incurred for the transaction and the cost to complete the transaction can be measured         reliably.</t>
    </r>
  </si>
  <si>
    <r>
      <t>·</t>
    </r>
    <r>
      <rPr>
        <sz val="10"/>
        <color indexed="8"/>
        <rFont val="Arial"/>
        <family val="2"/>
      </rPr>
      <t>  The municipality has transferred to the purchaser the significant risks and rewards of ownership of       goods;</t>
    </r>
  </si>
  <si>
    <r>
      <t>·</t>
    </r>
    <r>
      <rPr>
        <sz val="10"/>
        <color indexed="8"/>
        <rFont val="Arial"/>
        <family val="2"/>
      </rPr>
      <t> The municipality retains neither continuing managerial involvement to the degree associated with         ownership nor effective control over the goods sold;</t>
    </r>
  </si>
  <si>
    <r>
      <t>·</t>
    </r>
    <r>
      <rPr>
        <sz val="10"/>
        <color indexed="8"/>
        <rFont val="Arial"/>
        <family val="2"/>
      </rPr>
      <t>  The amount of revenue can be measured reliably;</t>
    </r>
  </si>
  <si>
    <r>
      <t>·</t>
    </r>
    <r>
      <rPr>
        <sz val="10"/>
        <color indexed="8"/>
        <rFont val="Arial"/>
        <family val="2"/>
      </rPr>
      <t xml:space="preserve">  It is probable that the economic benefits or service potential associated with the transaction will flow     to the municipality;  and </t>
    </r>
  </si>
  <si>
    <r>
      <t>·</t>
    </r>
    <r>
      <rPr>
        <sz val="10"/>
        <color indexed="8"/>
        <rFont val="Arial"/>
        <family val="2"/>
      </rPr>
      <t>  The cost incurred or to be incurred in respect of the transaction can be measured reliably.</t>
    </r>
  </si>
  <si>
    <r>
      <t>·</t>
    </r>
    <r>
      <rPr>
        <sz val="10"/>
        <color indexed="8"/>
        <rFont val="Arial"/>
        <family val="2"/>
      </rPr>
      <t> The amount of revenue can be measured reliably;</t>
    </r>
  </si>
  <si>
    <r>
      <t>·</t>
    </r>
    <r>
      <rPr>
        <sz val="10"/>
        <color indexed="8"/>
        <rFont val="Arial"/>
        <family val="2"/>
      </rPr>
      <t> There has been compliance with the relevant legal requirements.</t>
    </r>
  </si>
  <si>
    <t>This grant was used to construct basic municipal infrastructure to provide basic services for the benefit of poor households.  Other than the unspent amount, the conditions of the grant were met and no funds have been withheld.</t>
  </si>
  <si>
    <t>Integrated National Electrification Grant (INEP)</t>
  </si>
  <si>
    <t>This grant was used to address the electrification backlog of permanently occupied residential dwellings.  The conditions of the grant were met and no funds have been withheld.</t>
  </si>
  <si>
    <t>Vuna Awards 2003</t>
  </si>
  <si>
    <t>820/821/8302</t>
  </si>
  <si>
    <t>820/821/8303</t>
  </si>
  <si>
    <t>820/821/8304</t>
  </si>
  <si>
    <t>820/821/8305</t>
  </si>
  <si>
    <t>820/821/8306</t>
  </si>
  <si>
    <t>820/821/8307</t>
  </si>
  <si>
    <t>820/821/8308</t>
  </si>
  <si>
    <t>820/821/8309</t>
  </si>
  <si>
    <t>Mine</t>
  </si>
  <si>
    <t>Worke</t>
  </si>
  <si>
    <t>820/821/8313</t>
  </si>
  <si>
    <t>820/821/8314</t>
  </si>
  <si>
    <t>820/821/8315</t>
  </si>
  <si>
    <t>820/821/8316</t>
  </si>
  <si>
    <t>820/821/8317</t>
  </si>
  <si>
    <t>820/821/8318</t>
  </si>
  <si>
    <t>820/821/8319</t>
  </si>
  <si>
    <t>820/821/8320</t>
  </si>
  <si>
    <t>820/821/8325</t>
  </si>
  <si>
    <t>Mynwerkers</t>
  </si>
  <si>
    <t>820/821/8350</t>
  </si>
  <si>
    <t>Nance</t>
  </si>
  <si>
    <t>820/821/8351</t>
  </si>
  <si>
    <t>820/821/8352</t>
  </si>
  <si>
    <t>820/821/8354</t>
  </si>
  <si>
    <t>820/821/8355</t>
  </si>
  <si>
    <t>820/821/8356</t>
  </si>
  <si>
    <t>820/821/8357</t>
  </si>
  <si>
    <t>820/821/8358</t>
  </si>
  <si>
    <t>820/821/8360</t>
  </si>
  <si>
    <t>820/821/8361</t>
  </si>
  <si>
    <t>ext</t>
  </si>
  <si>
    <t>AN LURULI</t>
  </si>
  <si>
    <t>Years</t>
  </si>
  <si>
    <t>Roads, pavements, bridges and storm water</t>
  </si>
  <si>
    <t xml:space="preserve">Street names, signs and parking meters                                                                        </t>
  </si>
  <si>
    <t xml:space="preserve">Car parks, bus terminals and taxi ranks                                                                        </t>
  </si>
  <si>
    <t xml:space="preserve">Electricity reticulation                                                                                                     </t>
  </si>
  <si>
    <t xml:space="preserve">Electricity meters                                                                                                             </t>
  </si>
  <si>
    <t xml:space="preserve">Housing                                                                                                                              </t>
  </si>
  <si>
    <t xml:space="preserve">Street lighting                                                                                                                   </t>
  </si>
  <si>
    <t xml:space="preserve">Refuse sites                                                                                                                 </t>
  </si>
  <si>
    <t xml:space="preserve">Parks and gardens                                                                                                      </t>
  </si>
  <si>
    <t xml:space="preserve">Sport fields                                                                                                                  </t>
  </si>
  <si>
    <t xml:space="preserve">Infrastructure Assets                                                                                                       </t>
  </si>
  <si>
    <t xml:space="preserve">Community Assets                                                                                                        </t>
  </si>
  <si>
    <t xml:space="preserve">Other Assets                                                                                                               </t>
  </si>
  <si>
    <t xml:space="preserve">Community halls                                                                                                            </t>
  </si>
  <si>
    <t xml:space="preserve">Libraries                                                                                                                        </t>
  </si>
  <si>
    <r>
      <t xml:space="preserve">If the municipality elects to reflect all of its investment properties </t>
    </r>
    <r>
      <rPr>
        <b/>
        <sz val="8"/>
        <rFont val="Arial"/>
        <family val="2"/>
      </rPr>
      <t>at cost less accumulated depreciation,</t>
    </r>
    <r>
      <rPr>
        <sz val="8"/>
        <rFont val="Arial"/>
        <family val="2"/>
      </rPr>
      <t xml:space="preserve"> ensure disclosure in the AFS of the following information, in addition to any relevant information required by the disclosure requirements relating to IP at fair value as set out above:</t>
    </r>
  </si>
  <si>
    <r>
      <t>·</t>
    </r>
    <r>
      <rPr>
        <sz val="7"/>
        <rFont val="Times New Roman"/>
        <family val="1"/>
      </rPr>
      <t xml:space="preserve">          </t>
    </r>
    <r>
      <rPr>
        <sz val="8"/>
        <rFont val="Arial"/>
        <family val="2"/>
      </rPr>
      <t>The depreciation methods used;</t>
    </r>
  </si>
  <si>
    <r>
      <t>·</t>
    </r>
    <r>
      <rPr>
        <sz val="7"/>
        <rFont val="Times New Roman"/>
        <family val="1"/>
      </rPr>
      <t xml:space="preserve">          </t>
    </r>
    <r>
      <rPr>
        <sz val="8"/>
        <rFont val="Arial"/>
        <family val="2"/>
      </rPr>
      <t>The useful lives or the depreciation rates used;</t>
    </r>
  </si>
  <si>
    <r>
      <t>·</t>
    </r>
    <r>
      <rPr>
        <sz val="7"/>
        <rFont val="Times New Roman"/>
        <family val="1"/>
      </rPr>
      <t xml:space="preserve">          </t>
    </r>
    <r>
      <rPr>
        <sz val="8"/>
        <rFont val="Arial"/>
        <family val="2"/>
      </rPr>
      <t>The gross carrying amount and the accumulated depreciation (aggregated with accumulated impairment losses) at the beginning and end of the period;</t>
    </r>
  </si>
  <si>
    <r>
      <t>·</t>
    </r>
    <r>
      <rPr>
        <sz val="7"/>
        <rFont val="Times New Roman"/>
        <family val="1"/>
      </rPr>
      <t xml:space="preserve">          </t>
    </r>
    <r>
      <rPr>
        <sz val="8"/>
        <rFont val="Arial"/>
        <family val="2"/>
      </rPr>
      <t>A reconciliation of the carrying amount of investment property at the beginning and end of the period showing the following (comparative information is not required):</t>
    </r>
  </si>
  <si>
    <r>
      <t>(i)</t>
    </r>
    <r>
      <rPr>
        <sz val="7"/>
        <rFont val="Times New Roman"/>
        <family val="1"/>
      </rPr>
      <t xml:space="preserve">      </t>
    </r>
    <r>
      <rPr>
        <sz val="8"/>
        <rFont val="Arial"/>
        <family val="2"/>
      </rPr>
      <t>Additions, disclosing separately those additions resulting from acquisitions and those resulting from capitalized subsequent expenditure;</t>
    </r>
  </si>
  <si>
    <r>
      <t>(ii)</t>
    </r>
    <r>
      <rPr>
        <sz val="7"/>
        <rFont val="Times New Roman"/>
        <family val="1"/>
      </rPr>
      <t xml:space="preserve">     </t>
    </r>
    <r>
      <rPr>
        <sz val="8"/>
        <rFont val="Arial"/>
        <family val="2"/>
      </rPr>
      <t>Additions resulting from acquisitions through municipality combinations;</t>
    </r>
  </si>
  <si>
    <r>
      <t>(iii)</t>
    </r>
    <r>
      <rPr>
        <sz val="7"/>
        <rFont val="Times New Roman"/>
        <family val="1"/>
      </rPr>
      <t xml:space="preserve">    </t>
    </r>
    <r>
      <rPr>
        <sz val="8"/>
        <rFont val="Arial"/>
        <family val="2"/>
      </rPr>
      <t>Disposals;</t>
    </r>
  </si>
  <si>
    <r>
      <t>(iv)</t>
    </r>
    <r>
      <rPr>
        <sz val="7"/>
        <rFont val="Times New Roman"/>
        <family val="1"/>
      </rPr>
      <t xml:space="preserve">   </t>
    </r>
    <r>
      <rPr>
        <sz val="8"/>
        <rFont val="Arial"/>
        <family val="2"/>
      </rPr>
      <t>Depreciation;</t>
    </r>
  </si>
  <si>
    <r>
      <t>(v)</t>
    </r>
    <r>
      <rPr>
        <sz val="7"/>
        <rFont val="Times New Roman"/>
        <family val="1"/>
      </rPr>
      <t xml:space="preserve">    </t>
    </r>
    <r>
      <rPr>
        <sz val="8"/>
        <rFont val="Arial"/>
        <family val="2"/>
      </rPr>
      <t>The amount of impairment losses recognized, and the amount of impairment losses reversed, during the period;</t>
    </r>
  </si>
  <si>
    <r>
      <t>(vi)</t>
    </r>
    <r>
      <rPr>
        <sz val="7"/>
        <rFont val="Times New Roman"/>
        <family val="1"/>
      </rPr>
      <t xml:space="preserve">   </t>
    </r>
    <r>
      <rPr>
        <sz val="8"/>
        <rFont val="Arial"/>
        <family val="2"/>
      </rPr>
      <t>The net exchange differences arising on the translation of the financial statements of a foreign municipality;</t>
    </r>
  </si>
  <si>
    <r>
      <t>(vii)</t>
    </r>
    <r>
      <rPr>
        <sz val="7"/>
        <rFont val="Times New Roman"/>
        <family val="1"/>
      </rPr>
      <t xml:space="preserve">  </t>
    </r>
    <r>
      <rPr>
        <sz val="8"/>
        <rFont val="Arial"/>
        <family val="2"/>
      </rPr>
      <t>Transfers to and from inventories and owner – occupied property; and</t>
    </r>
  </si>
  <si>
    <r>
      <t>(viii)</t>
    </r>
    <r>
      <rPr>
        <sz val="7"/>
        <rFont val="Times New Roman"/>
        <family val="1"/>
      </rPr>
      <t xml:space="preserve"> </t>
    </r>
    <r>
      <rPr>
        <sz val="8"/>
        <rFont val="Arial"/>
        <family val="2"/>
      </rPr>
      <t>Other movements; and</t>
    </r>
  </si>
  <si>
    <r>
      <t>·</t>
    </r>
    <r>
      <rPr>
        <sz val="7"/>
        <rFont val="Times New Roman"/>
        <family val="1"/>
      </rPr>
      <t xml:space="preserve">          </t>
    </r>
    <r>
      <rPr>
        <sz val="8"/>
        <rFont val="Arial"/>
        <family val="2"/>
      </rPr>
      <t>The fair value of investment property. In the exceptional cases , when the municipality cannot determine the fair value of the investment property reliably, the municipality should disclose:</t>
    </r>
  </si>
  <si>
    <r>
      <t>(i)</t>
    </r>
    <r>
      <rPr>
        <sz val="7"/>
        <rFont val="Times New Roman"/>
        <family val="1"/>
      </rPr>
      <t xml:space="preserve">                   </t>
    </r>
    <r>
      <rPr>
        <sz val="8"/>
        <rFont val="Arial"/>
        <family val="2"/>
      </rPr>
      <t>A description of the investment property;</t>
    </r>
  </si>
  <si>
    <r>
      <t>(ii)</t>
    </r>
    <r>
      <rPr>
        <sz val="7"/>
        <rFont val="Times New Roman"/>
        <family val="1"/>
      </rPr>
      <t xml:space="preserve">                  </t>
    </r>
    <r>
      <rPr>
        <sz val="8"/>
        <rFont val="Arial"/>
        <family val="2"/>
      </rPr>
      <t>An explanation of why fair value cannot be determined reliably; and</t>
    </r>
  </si>
  <si>
    <r>
      <t>(iii)</t>
    </r>
    <r>
      <rPr>
        <sz val="7"/>
        <rFont val="Times New Roman"/>
        <family val="1"/>
      </rPr>
      <t xml:space="preserve">                 </t>
    </r>
    <r>
      <rPr>
        <sz val="8"/>
        <rFont val="Arial"/>
        <family val="2"/>
      </rPr>
      <t>If possible, the range of estimates within which fair value is highly likely to lie.</t>
    </r>
  </si>
  <si>
    <t>Disclosure of the fair value of investment property if the cost model is applied and where the municipality has recognised the investment property in terms of this standard (IAS 40.79(e)(i) – (iii))</t>
  </si>
  <si>
    <r>
      <t>1)</t>
    </r>
    <r>
      <rPr>
        <sz val="7"/>
        <rFont val="Times New Roman"/>
        <family val="1"/>
      </rPr>
      <t xml:space="preserve">       </t>
    </r>
    <r>
      <rPr>
        <sz val="8"/>
        <rFont val="Arial"/>
        <family val="2"/>
      </rPr>
      <t>Ensure that, even if IP is reflected at cost procedures are put in place to obtain the Fair Value of IP at each Balance Sheet date for inclusion in the notes to the AFS.</t>
    </r>
  </si>
  <si>
    <r>
      <t>1)</t>
    </r>
    <r>
      <rPr>
        <sz val="7"/>
        <rFont val="Times New Roman"/>
        <family val="1"/>
      </rPr>
      <t xml:space="preserve">       </t>
    </r>
    <r>
      <rPr>
        <sz val="8"/>
        <rFont val="Arial"/>
        <family val="2"/>
      </rPr>
      <t>The disclosure notes relating to IP would provide an indication of the Fair Value of IP which is carried at cost price less accumulated depreciation on the face of the Statement of Financial Position.</t>
    </r>
  </si>
  <si>
    <t>IFRS 3</t>
  </si>
  <si>
    <t>Business combinations</t>
  </si>
  <si>
    <t>The municipality does not have this type of transactions.</t>
  </si>
  <si>
    <r>
      <t>1)</t>
    </r>
    <r>
      <rPr>
        <sz val="7"/>
        <rFont val="Times New Roman"/>
        <family val="1"/>
      </rPr>
      <t xml:space="preserve">       </t>
    </r>
    <r>
      <rPr>
        <sz val="8"/>
        <rFont val="Arial"/>
        <family val="2"/>
      </rPr>
      <t>No adjustments will need to be made to the AFS.</t>
    </r>
  </si>
  <si>
    <t>(AC 140)</t>
  </si>
  <si>
    <t>IFRS 5</t>
  </si>
  <si>
    <t>Non-current assets held for sale and discontinued operations</t>
  </si>
  <si>
    <t>Classification, measurement and disclosure of non-current assets held for sale (IFRS 5.6 – 29 (in so far as it relates to non-current assets held for sale) and 38 – 42)</t>
  </si>
  <si>
    <t>Finance income from sold housing by way of instalment sales agreements is recognised on a time proportion basis.</t>
  </si>
  <si>
    <t xml:space="preserve">Revenue from the sale of erven is recognised when all conditions associated with the deed of sale have been met. </t>
  </si>
  <si>
    <t>Rates, including collection charges and penalty interest</t>
  </si>
  <si>
    <t>Revenue from rates including collection charges and penalty interest, shall be recognised when all the following conditions have been satisfied:</t>
  </si>
  <si>
    <t>Statutory Funds &amp; Reserves</t>
  </si>
  <si>
    <t>Auction income - Sale of Stands</t>
  </si>
  <si>
    <t>Opening Balance of Reconstructed Assets - 1 July 2007</t>
  </si>
  <si>
    <t>National Treasury</t>
  </si>
  <si>
    <t>Provision Long Service</t>
  </si>
  <si>
    <t>Redemption Loans</t>
  </si>
  <si>
    <t>These annual financial statements are presented in South African Rand and are rounded to the nearest Rand.</t>
  </si>
  <si>
    <t>These annual financial statements have been prepared on a going concern basis.</t>
  </si>
  <si>
    <t>OTHER ASSETS</t>
  </si>
  <si>
    <t>Plant &amp; equipment</t>
  </si>
  <si>
    <t>Office equipment</t>
  </si>
  <si>
    <t>Fire</t>
  </si>
  <si>
    <t>TOTAL</t>
  </si>
  <si>
    <t>Closing Balance</t>
  </si>
  <si>
    <t>Carrying Value</t>
  </si>
  <si>
    <t>Opening Balance</t>
  </si>
  <si>
    <t xml:space="preserve"> Additions/ Transfers</t>
  </si>
  <si>
    <t>debts</t>
  </si>
  <si>
    <t>840/840/8210</t>
  </si>
  <si>
    <t>845/845/8430</t>
  </si>
  <si>
    <t>Provis</t>
  </si>
  <si>
    <t>845/845/8606</t>
  </si>
  <si>
    <t>Credit</t>
  </si>
  <si>
    <t>consumer</t>
  </si>
  <si>
    <t>de</t>
  </si>
  <si>
    <t>845/846/8602</t>
  </si>
  <si>
    <t>Msp</t>
  </si>
  <si>
    <t>funds</t>
  </si>
  <si>
    <t>845/846/8603</t>
  </si>
  <si>
    <t>not</t>
  </si>
  <si>
    <t>receipt</t>
  </si>
  <si>
    <t>845/846/8604</t>
  </si>
  <si>
    <t>Singelele</t>
  </si>
  <si>
    <t>conserva</t>
  </si>
  <si>
    <t>845/846/8605</t>
  </si>
  <si>
    <t>Developm</t>
  </si>
  <si>
    <t>845/846/8608</t>
  </si>
  <si>
    <t>Irf</t>
  </si>
  <si>
    <t>prepaid</t>
  </si>
  <si>
    <t>wate</t>
  </si>
  <si>
    <t>845/846/8609</t>
  </si>
  <si>
    <t>system</t>
  </si>
  <si>
    <t>eq</t>
  </si>
  <si>
    <t>845/846/8610</t>
  </si>
  <si>
    <t>Transitional</t>
  </si>
  <si>
    <t>grant</t>
  </si>
  <si>
    <t>845/846/8611</t>
  </si>
  <si>
    <t>Auction</t>
  </si>
  <si>
    <t>income</t>
  </si>
  <si>
    <t>(sa</t>
  </si>
  <si>
    <t>845/846/8613</t>
  </si>
  <si>
    <t>845/846/8615</t>
  </si>
  <si>
    <t>De</t>
  </si>
  <si>
    <t>beers</t>
  </si>
  <si>
    <t>electrica</t>
  </si>
  <si>
    <t>845/846/8616</t>
  </si>
  <si>
    <t>P/works</t>
  </si>
  <si>
    <t>road</t>
  </si>
  <si>
    <t>845/846/8617</t>
  </si>
  <si>
    <t>pr</t>
  </si>
  <si>
    <t>845/846/8618</t>
  </si>
  <si>
    <t>Renovations</t>
  </si>
  <si>
    <t>cattle</t>
  </si>
  <si>
    <t>845/846/8619</t>
  </si>
  <si>
    <t>Man</t>
  </si>
  <si>
    <t>845/846/8620</t>
  </si>
  <si>
    <t>cemetary</t>
  </si>
  <si>
    <t>845/846/8621</t>
  </si>
  <si>
    <t>Transport</t>
  </si>
  <si>
    <t>L</t>
  </si>
  <si>
    <t>845/846/8622</t>
  </si>
  <si>
    <t>Malaria</t>
  </si>
  <si>
    <t>845/846/8623</t>
  </si>
  <si>
    <t>comm</t>
  </si>
  <si>
    <t>845/846/8624</t>
  </si>
  <si>
    <t>Carrying values at 1 July 2007</t>
  </si>
  <si>
    <t>Carrying values at 30 June 2008</t>
  </si>
  <si>
    <t>30 June 2008</t>
  </si>
  <si>
    <t>2007/2008</t>
  </si>
  <si>
    <t>During the year ended 30 June 2008 a correction was made on depreciation in respect of useful life and residual value on property, plant and equipment.</t>
  </si>
  <si>
    <t xml:space="preserve"> Total 30 June 2008</t>
  </si>
  <si>
    <t xml:space="preserve"> 30 June 2007</t>
  </si>
  <si>
    <t xml:space="preserve"> days</t>
  </si>
  <si>
    <t>During 2007</t>
  </si>
  <si>
    <t>Outstanding 30 June 2008</t>
  </si>
  <si>
    <t>Transferred to Accumulated Surplus (see 38.6 below)</t>
  </si>
  <si>
    <t>Total (debited to Accumulated Surplus) (see 38.6 below)</t>
  </si>
  <si>
    <t>Transferred from Statutory Funds (see 38.1 above)</t>
  </si>
  <si>
    <t>Assets not meeting the  criteria (see 38.3 above)</t>
  </si>
  <si>
    <t>Backlog depreciation (see 38.4 above)</t>
  </si>
  <si>
    <t>Current Provisions (see 38.5 above)</t>
  </si>
  <si>
    <t>as at 30 June 2008</t>
  </si>
  <si>
    <t xml:space="preserve"> Balance at  30 June 2007</t>
  </si>
  <si>
    <t>Balance at  30 June 2008</t>
  </si>
  <si>
    <t>for the year ended 30 June 2008</t>
  </si>
  <si>
    <t>2008              Actual</t>
  </si>
  <si>
    <t>2008            Budget</t>
  </si>
  <si>
    <t>2008         Variance</t>
  </si>
  <si>
    <t>2008 Variance</t>
  </si>
  <si>
    <t>2008          Variance</t>
  </si>
  <si>
    <t>2008   Variance</t>
  </si>
  <si>
    <t>30 JUNE 2008</t>
  </si>
  <si>
    <t>Balance at 30 June 2008</t>
  </si>
  <si>
    <t>VAT is payable on the receipt basis.  Only once payment is received from debtors is VAT paid over to SARS.  VAT input receivables and VAT output receivable are shown in notes 14 and 7 respectively.  All VAT returns have been submitted by the due date throughout the year.</t>
  </si>
  <si>
    <t>Pay as You Earn (PAYE)</t>
  </si>
  <si>
    <t>Current payroll deductions</t>
  </si>
  <si>
    <t>Balance unpaid</t>
  </si>
  <si>
    <t>Unemployment Insurance Fund (UIF)</t>
  </si>
  <si>
    <t>Medical Aid</t>
  </si>
  <si>
    <t>Pension Fund</t>
  </si>
  <si>
    <t xml:space="preserve">                                                                                                                     </t>
  </si>
  <si>
    <t>Disclosure concerning councilors</t>
  </si>
  <si>
    <t>Section 124(1)(b)</t>
  </si>
  <si>
    <t>The following councillors had arrear accounts outstanding for more than 90 days as at 30 June 2007:</t>
  </si>
  <si>
    <t>During the year the following councillors had arrear accounts outstanding for more than 90 days:</t>
  </si>
  <si>
    <t>Outstanding more than 90 days</t>
  </si>
  <si>
    <t>Outstanding less than 90 days</t>
  </si>
  <si>
    <t>Highest amount outstanding</t>
  </si>
  <si>
    <t>Ageing</t>
  </si>
  <si>
    <t>In terms of this section, any arrears by individual councillors to the municipality for rates and services, which at any time during the relevant financial year was outstanding for more than 90 days, including the names of those councillors must be disclosed.</t>
  </si>
  <si>
    <t>Section 64(3)</t>
  </si>
  <si>
    <t>Outstanding consumer accounts</t>
  </si>
  <si>
    <t>Government institutions</t>
  </si>
  <si>
    <t>Other government institutions</t>
  </si>
  <si>
    <t>Department of Public Works (Other)</t>
  </si>
  <si>
    <t>Department of Education &amp; Schools</t>
  </si>
  <si>
    <t>In terms of the section, National Treasury was informed of the arrear accounts of schools for periods of more than 30 days.</t>
  </si>
  <si>
    <t>Arrear</t>
  </si>
  <si>
    <t>Current</t>
  </si>
  <si>
    <t>Outstanding 30 June 2007</t>
  </si>
  <si>
    <t xml:space="preserve"> Arrear</t>
  </si>
  <si>
    <t>INVESTMENT PROPERTY</t>
  </si>
  <si>
    <t>Property at cost</t>
  </si>
  <si>
    <t>Additions</t>
  </si>
  <si>
    <t>Transferred to PPE</t>
  </si>
  <si>
    <t>Main services contributions</t>
  </si>
  <si>
    <t>Interest received : External investments</t>
  </si>
  <si>
    <t>Plus</t>
  </si>
  <si>
    <t>Capitalisation Reserve</t>
  </si>
  <si>
    <t>Government Grant Reserve</t>
  </si>
  <si>
    <t>Contribution to Insurance Reserve</t>
  </si>
  <si>
    <t>Donated contributions utilised for PPE</t>
  </si>
  <si>
    <t>Government grants utilized for PPE</t>
  </si>
  <si>
    <t>Actual operating surplus</t>
  </si>
  <si>
    <t>Budgeted operating surplus</t>
  </si>
  <si>
    <t>Favourable deviation</t>
  </si>
  <si>
    <t>Current account (primary bank account)</t>
  </si>
  <si>
    <t>Bank statement balance at beginning of year</t>
  </si>
  <si>
    <t>Bank statement balance at end of year</t>
  </si>
  <si>
    <t>Cash book balance at beginning of year</t>
  </si>
  <si>
    <t>Increase/(decrease) in cash book balance</t>
  </si>
  <si>
    <t>Cash book balance at end of year</t>
  </si>
  <si>
    <t>Disclosure in terms of the MFMA, 2003, Section 125(2)(a).</t>
  </si>
  <si>
    <t>PROPERTY RATES</t>
  </si>
  <si>
    <t>Residential</t>
  </si>
  <si>
    <t>Commercial</t>
  </si>
  <si>
    <t>Exempted</t>
  </si>
  <si>
    <t>Government</t>
  </si>
  <si>
    <t>VALUATIONS</t>
  </si>
  <si>
    <t>SERVICE CHARGES</t>
  </si>
  <si>
    <t>Sale of electricity</t>
  </si>
  <si>
    <t>Sale of water</t>
  </si>
  <si>
    <t>Refuse removal</t>
  </si>
  <si>
    <t>Sewerage and sanitation charges</t>
  </si>
  <si>
    <t>Total service charges</t>
  </si>
  <si>
    <t>GOVERNMENT SUBSIDIES &amp; GRANTS</t>
  </si>
  <si>
    <t>Operating Grants</t>
  </si>
  <si>
    <t>Equitable share</t>
  </si>
  <si>
    <t>Provincial health subsidies</t>
  </si>
  <si>
    <t>Finance management grant (FMG)</t>
  </si>
  <si>
    <t>Local government capacity building grant</t>
  </si>
  <si>
    <t>Provincial local economic projects (LED)</t>
  </si>
  <si>
    <t>Municipal systems improvement grant (MSIG)</t>
  </si>
  <si>
    <t>Capital Grants</t>
  </si>
  <si>
    <t>Department of provincial and local government (DPLG)</t>
  </si>
  <si>
    <t>Municipal infrastructural grant (MIG)</t>
  </si>
  <si>
    <t>Integrated national electrification grant (INEP)</t>
  </si>
  <si>
    <t>Vuna Awards</t>
  </si>
  <si>
    <t>Total Government Grants &amp; Subsidies</t>
  </si>
  <si>
    <t>Equitable Share</t>
  </si>
  <si>
    <t>Provincial Health Subsidy</t>
  </si>
  <si>
    <t>Current year receipts</t>
  </si>
  <si>
    <t>Conditions met – transferred to revenue</t>
  </si>
  <si>
    <t xml:space="preserve">Unspent amount transferred to liabilities </t>
  </si>
  <si>
    <t>Finance Management Grant</t>
  </si>
  <si>
    <t>Balance unspent at beginning of year</t>
  </si>
  <si>
    <t>Unspent amount transferred to liabilities</t>
  </si>
  <si>
    <t>This grant was used to promote and support reforms to municipal financial management and the implementation of the MFMA, 2003.  Other than the unspent amount, the conditions of the grant were met and no funds have been withheld.</t>
  </si>
  <si>
    <t>Local Government Transition Grant (LGTF)</t>
  </si>
  <si>
    <t>This grant was used to implement new systems as provided in the Municipal Systems Act, 2000.  Other than the unspent amount, the conditions of the grant were met.</t>
  </si>
  <si>
    <t>This grant was used to build in-house capacity to perform their functions and improve governance systems.  Other than the unspent amount, the conditions of the grant were met and no funds have been withheld.</t>
  </si>
  <si>
    <t>Municipal Systems Improvement Grant</t>
  </si>
  <si>
    <t>This grant was used to build in-house capacity to perform their functions and stabilize institutional and governance systems.  Other than the unspent amount, the conditions of the grant were met and no funds have been withheld.</t>
  </si>
  <si>
    <t>Local Economic Development</t>
  </si>
  <si>
    <t>Provincial LED projects grants are used for the planning and implementation of job creation and poverty alleviation projects.</t>
  </si>
  <si>
    <r>
      <t xml:space="preserve">1)  </t>
    </r>
    <r>
      <rPr>
        <sz val="8"/>
        <rFont val="Arial"/>
        <family val="2"/>
      </rPr>
      <t>If any intangible assets are currently classified as part of PPE, then the application of IAS 38 will lead to a reclassification of these items as intangible assets, with a new line item called intangible assets being reflected on the Statement of Financial Position. This will result in the carrying amount of PPE and an increase in a new asset called intangible assets.</t>
    </r>
  </si>
  <si>
    <r>
      <t>·</t>
    </r>
    <r>
      <rPr>
        <sz val="7"/>
        <rFont val="Times New Roman"/>
        <family val="1"/>
      </rPr>
      <t xml:space="preserve">          </t>
    </r>
    <r>
      <rPr>
        <sz val="8"/>
        <rFont val="Arial"/>
        <family val="2"/>
      </rPr>
      <t>A license fee for operating a tip site, where the fee grants to the municipality the right to operate the tip site for a period of longer than one year.</t>
    </r>
  </si>
  <si>
    <r>
      <t xml:space="preserve">2) </t>
    </r>
    <r>
      <rPr>
        <sz val="7"/>
        <rFont val="Times New Roman"/>
        <family val="1"/>
      </rPr>
      <t xml:space="preserve"> </t>
    </r>
    <r>
      <rPr>
        <sz val="8"/>
        <rFont val="Arial"/>
        <family val="2"/>
      </rPr>
      <t>In future a new expense item will be reflected in the Statement of Financial Performance called amortisation, which reflects the amount of “depreciation” on the intangible assets for the year.</t>
    </r>
  </si>
  <si>
    <r>
      <t>3)</t>
    </r>
    <r>
      <rPr>
        <sz val="7"/>
        <rFont val="Times New Roman"/>
        <family val="1"/>
      </rPr>
      <t xml:space="preserve">       </t>
    </r>
    <r>
      <rPr>
        <sz val="8"/>
        <rFont val="Arial"/>
        <family val="2"/>
      </rPr>
      <t>Ensure that the necessary procedures are put in place to ensure the proper accounting treatment of Intangible assets after initial recognition to deal with the accounting for subsequent expenditure, amortisation, review of useful lives of intangible assets retirements and disposals of intangible assets and internally generated intangible assets.</t>
    </r>
  </si>
  <si>
    <r>
      <t>3)</t>
    </r>
    <r>
      <rPr>
        <sz val="7"/>
        <rFont val="Times New Roman"/>
        <family val="1"/>
      </rPr>
      <t xml:space="preserve"> </t>
    </r>
    <r>
      <rPr>
        <sz val="8"/>
        <rFont val="Arial"/>
        <family val="2"/>
      </rPr>
      <t>If intangible assets have been incorrectly expensed in the past this can be regarded as a prior period error and should be corrected retrospectively by applying GRAP 3. This will lead to a restatement (increase) of the opening balance of the Accumulated Surplus Account as well as an increase in the Asset Value on the Statement of Financial Position of the municipality.</t>
    </r>
  </si>
  <si>
    <r>
      <t>4)</t>
    </r>
    <r>
      <rPr>
        <sz val="7"/>
        <rFont val="Times New Roman"/>
        <family val="1"/>
      </rPr>
      <t xml:space="preserve"> </t>
    </r>
    <r>
      <rPr>
        <sz val="8"/>
        <rFont val="Arial"/>
        <family val="2"/>
      </rPr>
      <t>An accounting policy note related to the accounting treatment of Intangible assets will need to be developed and disclosed.</t>
    </r>
  </si>
  <si>
    <r>
      <t>5)</t>
    </r>
    <r>
      <rPr>
        <sz val="7"/>
        <rFont val="Times New Roman"/>
        <family val="1"/>
      </rPr>
      <t xml:space="preserve"> </t>
    </r>
    <r>
      <rPr>
        <sz val="8"/>
        <rFont val="Arial"/>
        <family val="2"/>
      </rPr>
      <t xml:space="preserve">The municipality shall disclose the following for each class of intangible assets, distinguishing between internally generated intangible assets and other intangible assets: </t>
    </r>
  </si>
  <si>
    <r>
      <t>(a)</t>
    </r>
    <r>
      <rPr>
        <sz val="7"/>
        <rFont val="Times New Roman"/>
        <family val="1"/>
      </rPr>
      <t xml:space="preserve">     </t>
    </r>
    <r>
      <rPr>
        <sz val="8"/>
        <rFont val="Arial"/>
        <family val="2"/>
      </rPr>
      <t xml:space="preserve">The useful lives or the amortisation rates used; </t>
    </r>
  </si>
  <si>
    <r>
      <t>(b)</t>
    </r>
    <r>
      <rPr>
        <sz val="7"/>
        <rFont val="Times New Roman"/>
        <family val="1"/>
      </rPr>
      <t xml:space="preserve">     </t>
    </r>
    <r>
      <rPr>
        <sz val="8"/>
        <rFont val="Arial"/>
        <family val="2"/>
      </rPr>
      <t xml:space="preserve">The amortisation methods used for intangible assets with finite useful lives; </t>
    </r>
  </si>
  <si>
    <t>Other assets</t>
  </si>
  <si>
    <t>Approved but not yet contracted for</t>
  </si>
  <si>
    <t>Land and buildings</t>
  </si>
  <si>
    <t>Specialised vehicles</t>
  </si>
  <si>
    <t>This expenditure will be financed from</t>
  </si>
  <si>
    <t>External loans</t>
  </si>
  <si>
    <t>Government grants</t>
  </si>
  <si>
    <t>Contribution to SALGA</t>
  </si>
  <si>
    <t>Council membership fees payable</t>
  </si>
  <si>
    <t>Amount paid current year</t>
  </si>
  <si>
    <t>Balance unpaid (included in creditors)</t>
  </si>
  <si>
    <t>Audit Fees</t>
  </si>
  <si>
    <t>Current year audit fee</t>
  </si>
  <si>
    <t>Output Tax</t>
  </si>
  <si>
    <t>Closing balance</t>
  </si>
  <si>
    <t>Input Tax</t>
  </si>
  <si>
    <t>Amount payable to SARS</t>
  </si>
  <si>
    <t>Roads</t>
  </si>
  <si>
    <t>Vehicle Licenses &amp; Traffic</t>
  </si>
  <si>
    <t>Transport Other</t>
  </si>
  <si>
    <t>Water Distribution</t>
  </si>
  <si>
    <t>Water Purification</t>
  </si>
  <si>
    <t>Electricity Distribution</t>
  </si>
  <si>
    <t>Street Lighting</t>
  </si>
  <si>
    <t>Less: Inter-Departmental Charges</t>
  </si>
  <si>
    <t>%</t>
  </si>
  <si>
    <r>
      <t>·</t>
    </r>
    <r>
      <rPr>
        <sz val="10"/>
        <color indexed="8"/>
        <rFont val="Arial"/>
        <family val="2"/>
      </rPr>
      <t>         The book values of assets are written off on disposal.</t>
    </r>
  </si>
  <si>
    <t>Current account (Art &amp; Culture)</t>
  </si>
  <si>
    <t>Account number :  4065606760</t>
  </si>
  <si>
    <t>Current account (Lotto Nancefield stadium)</t>
  </si>
  <si>
    <t>Account number :  4067609265</t>
  </si>
  <si>
    <t>Current account (PHP Housing)</t>
  </si>
  <si>
    <t>Account number :  4071944207</t>
  </si>
  <si>
    <t>Current account (MIG Grant)</t>
  </si>
  <si>
    <t>Skills Development</t>
  </si>
  <si>
    <t>Pro-rata bonusses</t>
  </si>
  <si>
    <t>Public Transport Limp province</t>
  </si>
  <si>
    <t>creditors provision</t>
  </si>
  <si>
    <t>Interest</t>
  </si>
  <si>
    <t>Library/Cemetary</t>
  </si>
  <si>
    <t>Seta</t>
  </si>
  <si>
    <t>Zelpy</t>
  </si>
  <si>
    <t>RD Cheques</t>
  </si>
  <si>
    <t>Vhembe District</t>
  </si>
  <si>
    <t>Pensioners</t>
  </si>
  <si>
    <t>Insurance</t>
  </si>
  <si>
    <t>Library</t>
  </si>
  <si>
    <t>Books</t>
  </si>
  <si>
    <t>Rentals</t>
  </si>
  <si>
    <t>Furniture</t>
  </si>
  <si>
    <t>Capital</t>
  </si>
  <si>
    <t>Waste</t>
  </si>
  <si>
    <t>Paving</t>
  </si>
  <si>
    <t>Transformers</t>
  </si>
  <si>
    <t>Streetlights</t>
  </si>
  <si>
    <t>Chair</t>
  </si>
  <si>
    <t>Redemption</t>
  </si>
  <si>
    <t>800</t>
  </si>
  <si>
    <t>The Minister of Finance has, in terms of General Notice 552 of 2007 exempted compliance with certain of the above-mentioned standards and aspects or parts of these standards.  Details of the exemptions applicable to the municipality have been provided in the notes to the annual statements, except for IAS 19 / AC 116.  An application for deviating from Gazette 30013 of 29 June 2007 to fully comply with IAS 19 / AC 116 for the 2006/2007 financial year was granted by National Treasury.</t>
  </si>
  <si>
    <t>These accounting policies are consistent with those of the previous financial year.</t>
  </si>
  <si>
    <t xml:space="preserve">Assets, liabilities, revenues and expenses have not been offset except when offsetting is required or permitted by a standard of GAMAP or GRAP. </t>
  </si>
  <si>
    <t>The principal accounting policies adopted in the preparation of these annual financial statements are set out below.</t>
  </si>
  <si>
    <t>PUMP</t>
  </si>
  <si>
    <t>120/440/1376</t>
  </si>
  <si>
    <t>MUSINA</t>
  </si>
  <si>
    <t>FIRE</t>
  </si>
  <si>
    <t>STATIO</t>
  </si>
  <si>
    <t>120/455/4132</t>
  </si>
  <si>
    <t>to/fr</t>
  </si>
  <si>
    <t>120/702/0400</t>
  </si>
  <si>
    <t>120/710/1200</t>
  </si>
  <si>
    <t>120/780/4300</t>
  </si>
  <si>
    <t>120/782/4500</t>
  </si>
  <si>
    <t>Fund</t>
  </si>
  <si>
    <t>800/800/8010</t>
  </si>
  <si>
    <t>developmen</t>
  </si>
  <si>
    <t>800/800/8020</t>
  </si>
  <si>
    <t>800/800/8030</t>
  </si>
  <si>
    <t>Land</t>
  </si>
  <si>
    <t>trust</t>
  </si>
  <si>
    <t>fund</t>
  </si>
  <si>
    <t>800/800/8600</t>
  </si>
  <si>
    <t>810/810/8015</t>
  </si>
  <si>
    <t>Account</t>
  </si>
  <si>
    <t>Ta</t>
  </si>
  <si>
    <t>810/810/8100</t>
  </si>
  <si>
    <t>IEC</t>
  </si>
  <si>
    <t>educatio</t>
  </si>
  <si>
    <t>810/810/8105</t>
  </si>
  <si>
    <t>810/810/8110</t>
  </si>
  <si>
    <t>Golf</t>
  </si>
  <si>
    <t>day</t>
  </si>
  <si>
    <t>810/810/8115</t>
  </si>
  <si>
    <t>Conditional</t>
  </si>
  <si>
    <t>810/810/8120</t>
  </si>
  <si>
    <t>Longterm</t>
  </si>
  <si>
    <t>longservi</t>
  </si>
  <si>
    <t>810/810/8150</t>
  </si>
  <si>
    <t>Dev</t>
  </si>
  <si>
    <t>810/810/8600</t>
  </si>
  <si>
    <t>815/815/8215</t>
  </si>
  <si>
    <t>Accumulated</t>
  </si>
  <si>
    <t>defici</t>
  </si>
  <si>
    <t>815/815/8220</t>
  </si>
  <si>
    <t>Inc</t>
  </si>
  <si>
    <t>exp</t>
  </si>
  <si>
    <t>appropre</t>
  </si>
  <si>
    <t>820/820/8299</t>
  </si>
  <si>
    <t>F</t>
  </si>
  <si>
    <t>820/821/8300</t>
  </si>
  <si>
    <t>layout</t>
  </si>
  <si>
    <t>820/821/8301</t>
  </si>
  <si>
    <r>
      <t>·</t>
    </r>
    <r>
      <rPr>
        <sz val="7"/>
        <rFont val="Times New Roman"/>
        <family val="1"/>
      </rPr>
      <t xml:space="preserve">          </t>
    </r>
    <r>
      <rPr>
        <sz val="8"/>
        <color indexed="8"/>
        <rFont val="Arial"/>
        <family val="2"/>
      </rPr>
      <t>The extent to which the fair value of investment property</t>
    </r>
    <r>
      <rPr>
        <sz val="8"/>
        <rFont val="Arial"/>
        <family val="2"/>
      </rPr>
      <t xml:space="preserve"> </t>
    </r>
    <r>
      <rPr>
        <sz val="8"/>
        <color indexed="8"/>
        <rFont val="Arial"/>
        <family val="2"/>
      </rPr>
      <t>is</t>
    </r>
    <r>
      <rPr>
        <sz val="8"/>
        <rFont val="Arial"/>
        <family val="2"/>
      </rPr>
      <t xml:space="preserve"> </t>
    </r>
    <r>
      <rPr>
        <sz val="8"/>
        <color indexed="8"/>
        <rFont val="Arial"/>
        <family val="2"/>
      </rPr>
      <t>based on a valuation by an independent valuer.</t>
    </r>
  </si>
  <si>
    <r>
      <t>5)</t>
    </r>
    <r>
      <rPr>
        <sz val="7"/>
        <rFont val="Times New Roman"/>
        <family val="1"/>
      </rPr>
      <t xml:space="preserve">       </t>
    </r>
    <r>
      <rPr>
        <sz val="8"/>
        <rFont val="Arial"/>
        <family val="2"/>
      </rPr>
      <t>Identify and reclassify as Investment Property (IP) all land and buildings reflected on the updated FAR meeting the definition of Investment Property as per IAS 40.</t>
    </r>
  </si>
  <si>
    <r>
      <t>·</t>
    </r>
    <r>
      <rPr>
        <sz val="7"/>
        <rFont val="Times New Roman"/>
        <family val="1"/>
      </rPr>
      <t xml:space="preserve">          </t>
    </r>
    <r>
      <rPr>
        <sz val="8"/>
        <color indexed="8"/>
        <rFont val="Arial"/>
        <family val="2"/>
      </rPr>
      <t>The amounts included in the statement of financial</t>
    </r>
    <r>
      <rPr>
        <sz val="8"/>
        <rFont val="Arial"/>
        <family val="2"/>
      </rPr>
      <t xml:space="preserve"> </t>
    </r>
    <r>
      <rPr>
        <sz val="8"/>
        <color indexed="8"/>
        <rFont val="Arial"/>
        <family val="2"/>
      </rPr>
      <t>performance for:</t>
    </r>
  </si>
  <si>
    <r>
      <t>6)</t>
    </r>
    <r>
      <rPr>
        <sz val="7"/>
        <rFont val="Times New Roman"/>
        <family val="1"/>
      </rPr>
      <t xml:space="preserve">       </t>
    </r>
    <r>
      <rPr>
        <sz val="8"/>
        <rFont val="Arial"/>
        <family val="2"/>
      </rPr>
      <t xml:space="preserve">Decide on an accounting policy for the subsequent measurement of IP i.e. cost price less accumulated depreciation or Fair Value. </t>
    </r>
  </si>
  <si>
    <r>
      <t>(a)</t>
    </r>
    <r>
      <rPr>
        <sz val="7"/>
        <color indexed="8"/>
        <rFont val="Times New Roman"/>
        <family val="1"/>
      </rPr>
      <t xml:space="preserve">     </t>
    </r>
    <r>
      <rPr>
        <sz val="8"/>
        <color indexed="8"/>
        <rFont val="Arial"/>
        <family val="2"/>
      </rPr>
      <t>Rental revenue from investment property;</t>
    </r>
  </si>
  <si>
    <r>
      <t>7)</t>
    </r>
    <r>
      <rPr>
        <sz val="7"/>
        <rFont val="Times New Roman"/>
        <family val="1"/>
      </rPr>
      <t xml:space="preserve">       </t>
    </r>
    <r>
      <rPr>
        <sz val="8"/>
        <rFont val="Arial"/>
        <family val="2"/>
      </rPr>
      <t>Ensure that the necessary procedures are put in place to ensure the proper accounting treatment of IP after initial recognition  to deal with the accounting for subsequent expenditure, disposal of IP, transfers of IP, Fair value increases etc.</t>
    </r>
  </si>
  <si>
    <r>
      <t>(b)</t>
    </r>
    <r>
      <rPr>
        <sz val="7"/>
        <color indexed="8"/>
        <rFont val="Times New Roman"/>
        <family val="1"/>
      </rPr>
      <t xml:space="preserve">     </t>
    </r>
    <r>
      <rPr>
        <sz val="8"/>
        <color indexed="8"/>
        <rFont val="Arial"/>
        <family val="2"/>
      </rPr>
      <t xml:space="preserve">Direct operating expenses arising from investment property that </t>
    </r>
    <r>
      <rPr>
        <b/>
        <sz val="8"/>
        <color indexed="8"/>
        <rFont val="Arial"/>
        <family val="2"/>
      </rPr>
      <t>generated rental revenue</t>
    </r>
    <r>
      <rPr>
        <sz val="8"/>
        <color indexed="8"/>
        <rFont val="Arial"/>
        <family val="2"/>
      </rPr>
      <t xml:space="preserve"> during the period; and</t>
    </r>
  </si>
  <si>
    <r>
      <t>(c)</t>
    </r>
    <r>
      <rPr>
        <sz val="7"/>
        <color indexed="8"/>
        <rFont val="Times New Roman"/>
        <family val="1"/>
      </rPr>
      <t xml:space="preserve">     </t>
    </r>
    <r>
      <rPr>
        <sz val="8"/>
        <color indexed="8"/>
        <rFont val="Arial"/>
        <family val="2"/>
      </rPr>
      <t xml:space="preserve">Direct operating expenses arising from investment property that </t>
    </r>
    <r>
      <rPr>
        <b/>
        <sz val="8"/>
        <color indexed="8"/>
        <rFont val="Arial"/>
        <family val="2"/>
      </rPr>
      <t>did not generate rental revenue</t>
    </r>
    <r>
      <rPr>
        <sz val="8"/>
        <color indexed="8"/>
        <rFont val="Arial"/>
        <family val="2"/>
      </rPr>
      <t xml:space="preserve"> during the period;</t>
    </r>
  </si>
  <si>
    <r>
      <t>(d)</t>
    </r>
    <r>
      <rPr>
        <sz val="7"/>
        <color indexed="8"/>
        <rFont val="Times New Roman"/>
        <family val="1"/>
      </rPr>
      <t xml:space="preserve">     </t>
    </r>
    <r>
      <rPr>
        <sz val="8"/>
        <color indexed="8"/>
        <rFont val="Arial"/>
        <family val="2"/>
      </rPr>
      <t>Fair value increases in IP</t>
    </r>
  </si>
  <si>
    <r>
      <t>·</t>
    </r>
    <r>
      <rPr>
        <sz val="7"/>
        <color indexed="8"/>
        <rFont val="Times New Roman"/>
        <family val="1"/>
      </rPr>
      <t xml:space="preserve">          </t>
    </r>
    <r>
      <rPr>
        <sz val="8"/>
        <color indexed="8"/>
        <rFont val="Arial"/>
        <family val="2"/>
      </rPr>
      <t>The existence and amounts of restrictions on the realisability of investment property or the remittance of revenue and proceeds of disposal;</t>
    </r>
  </si>
  <si>
    <r>
      <t>·</t>
    </r>
    <r>
      <rPr>
        <sz val="7"/>
        <color indexed="8"/>
        <rFont val="Times New Roman"/>
        <family val="1"/>
      </rPr>
      <t xml:space="preserve">          </t>
    </r>
    <r>
      <rPr>
        <sz val="8"/>
        <color indexed="8"/>
        <rFont val="Arial"/>
        <family val="2"/>
      </rPr>
      <t>Material contractual obligations to purchase, construct or develop investment property or for repairs, maintenance or enhancements;</t>
    </r>
  </si>
  <si>
    <r>
      <t>·</t>
    </r>
    <r>
      <rPr>
        <sz val="7"/>
        <color indexed="8"/>
        <rFont val="Times New Roman"/>
        <family val="1"/>
      </rPr>
      <t xml:space="preserve">          </t>
    </r>
    <r>
      <rPr>
        <sz val="8"/>
        <rFont val="Arial"/>
        <family val="2"/>
      </rPr>
      <t>A reconciliation of the carrying</t>
    </r>
    <r>
      <rPr>
        <sz val="8"/>
        <color indexed="8"/>
        <rFont val="Arial"/>
        <family val="2"/>
      </rPr>
      <t xml:space="preserve"> </t>
    </r>
    <r>
      <rPr>
        <sz val="8"/>
        <rFont val="Arial"/>
        <family val="2"/>
      </rPr>
      <t>amount of investment property at the beginning and end of</t>
    </r>
    <r>
      <rPr>
        <sz val="8"/>
        <color indexed="8"/>
        <rFont val="Arial"/>
        <family val="2"/>
      </rPr>
      <t xml:space="preserve"> </t>
    </r>
    <r>
      <rPr>
        <sz val="8"/>
        <rFont val="Arial"/>
        <family val="2"/>
      </rPr>
      <t xml:space="preserve">the period showing the following </t>
    </r>
  </si>
  <si>
    <r>
      <t>(a)</t>
    </r>
    <r>
      <rPr>
        <sz val="7"/>
        <rFont val="Times New Roman"/>
        <family val="1"/>
      </rPr>
      <t xml:space="preserve">     </t>
    </r>
    <r>
      <rPr>
        <sz val="8"/>
        <rFont val="Arial"/>
        <family val="2"/>
      </rPr>
      <t>Additions, disclosing separately those additions resulting from acquisitions and those resulting from capitalized subsequent expenditure;</t>
    </r>
  </si>
  <si>
    <r>
      <t>(b)</t>
    </r>
    <r>
      <rPr>
        <sz val="7"/>
        <rFont val="Times New Roman"/>
        <family val="1"/>
      </rPr>
      <t xml:space="preserve">     </t>
    </r>
    <r>
      <rPr>
        <sz val="8"/>
        <rFont val="Arial"/>
        <family val="2"/>
      </rPr>
      <t>Additions resulting from acquisitions through municipality combinations;</t>
    </r>
  </si>
  <si>
    <r>
      <t>(c)</t>
    </r>
    <r>
      <rPr>
        <sz val="7"/>
        <rFont val="Times New Roman"/>
        <family val="1"/>
      </rPr>
      <t xml:space="preserve">     </t>
    </r>
    <r>
      <rPr>
        <sz val="8"/>
        <rFont val="Arial"/>
        <family val="2"/>
      </rPr>
      <t>Disposals;</t>
    </r>
  </si>
  <si>
    <r>
      <t>(d)</t>
    </r>
    <r>
      <rPr>
        <sz val="7"/>
        <rFont val="Times New Roman"/>
        <family val="1"/>
      </rPr>
      <t xml:space="preserve">     </t>
    </r>
    <r>
      <rPr>
        <sz val="8"/>
        <rFont val="Arial"/>
        <family val="2"/>
      </rPr>
      <t>Net gains or losses from fair value adjustments;</t>
    </r>
  </si>
  <si>
    <r>
      <t>(e)</t>
    </r>
    <r>
      <rPr>
        <sz val="7"/>
        <rFont val="Times New Roman"/>
        <family val="1"/>
      </rPr>
      <t xml:space="preserve">     </t>
    </r>
    <r>
      <rPr>
        <sz val="8"/>
        <rFont val="Arial"/>
        <family val="2"/>
      </rPr>
      <t>Transfers to and from inventories and owner-occupied property; and</t>
    </r>
  </si>
  <si>
    <r>
      <t>(f)</t>
    </r>
    <r>
      <rPr>
        <sz val="7"/>
        <rFont val="Times New Roman"/>
        <family val="1"/>
      </rPr>
      <t xml:space="preserve">      </t>
    </r>
    <r>
      <rPr>
        <sz val="8"/>
        <rFont val="Arial"/>
        <family val="2"/>
      </rPr>
      <t>Other movements.</t>
    </r>
  </si>
  <si>
    <t>The following adjustments will need to be made to the AFS if IAS 40 is implemented and if IP is measured at Cost Price less accumulated depreciation.</t>
  </si>
  <si>
    <t>Revenue from the recovery of unauthorised, irregular, fruitless and wasteful expenditure is based on legislated procedures, including those set out in the Municipal Finance Management Act (Act No.56 of 2003) and is recognised when the recovery thereof from the responsible councillors or officials is virtually certain.</t>
  </si>
  <si>
    <t>Revenue from the recovery of unauthorised irregular, fruitless and wasteful expenditure is based on legislated procedures.</t>
  </si>
  <si>
    <t>Revenue are initially recognised at cost as permitted in terms of Gazette 30013 of 29 June 2007.</t>
  </si>
  <si>
    <t>Provisions are recognised when the municipality has a present or constructive obligation, as a result of past events, that is probable to cause an outflow of resources embodying economic benefits required to settle the obligation and a reliable estimate of the provision can be made.</t>
  </si>
  <si>
    <t>Interest Earned</t>
  </si>
  <si>
    <t>Gov. Grants: OPEX</t>
  </si>
  <si>
    <t>Gov. Grants: Capex</t>
  </si>
  <si>
    <t>Sales of Erven &amp; Coal</t>
  </si>
  <si>
    <t>Other Revenue</t>
  </si>
  <si>
    <t>Water Charges</t>
  </si>
  <si>
    <t>Check</t>
  </si>
  <si>
    <t>Employee Cost</t>
  </si>
  <si>
    <t>Repairs &amp; Maintenance</t>
  </si>
  <si>
    <t>Interest Paid</t>
  </si>
  <si>
    <t>Bulk Purchases</t>
  </si>
  <si>
    <t>Other Expenditure</t>
  </si>
  <si>
    <t>Contracted Services</t>
  </si>
  <si>
    <t>Remuneration Councillors</t>
  </si>
  <si>
    <t>31-60 Days</t>
  </si>
  <si>
    <t>60-90 Days</t>
  </si>
  <si>
    <t>91-120 Days</t>
  </si>
  <si>
    <t>121-150 Days</t>
  </si>
  <si>
    <t>151+ Days</t>
  </si>
  <si>
    <t>OPERATING REVENUE 2006/07</t>
  </si>
  <si>
    <t>OPERATING EXPENDITURE 2006/07</t>
  </si>
  <si>
    <t>CONSUMER DEBTORS 30 JUNE 2007</t>
  </si>
  <si>
    <t>COLLECTION RATES 2001 UNTIL 2007</t>
  </si>
  <si>
    <t>I am not sure - this data are captured and NOT LINKED to any other sheet - PLEASE CHECK</t>
  </si>
  <si>
    <t>I think we should rather link it to something…</t>
  </si>
  <si>
    <t>Roads and Stormwter</t>
  </si>
  <si>
    <t>Water Reticulation</t>
  </si>
  <si>
    <t>Electricity Reticulation</t>
  </si>
  <si>
    <t>Sewerage Reticulation</t>
  </si>
  <si>
    <t>Community Halls &amp; MPCC's</t>
  </si>
  <si>
    <t>Vehicles</t>
  </si>
  <si>
    <t>CAPITAL EXPENDITURE BY ASSET TYPE: 2006/07</t>
  </si>
  <si>
    <t>Average</t>
  </si>
  <si>
    <t>Budget for above</t>
  </si>
  <si>
    <t>Row 32 &amp;33 not the same as in notes</t>
  </si>
  <si>
    <t>please check</t>
  </si>
  <si>
    <t>(THIS YEAR)</t>
  </si>
  <si>
    <t>(LAST YEAR)</t>
  </si>
  <si>
    <t>Increase</t>
  </si>
  <si>
    <t>Capital Grants &amp; Donated PPE</t>
  </si>
  <si>
    <t>Donated PPE</t>
  </si>
  <si>
    <t>Service Charges % of total revenue</t>
  </si>
  <si>
    <t>Property Rates % of total revenue</t>
  </si>
  <si>
    <t>Operating Expenditure</t>
  </si>
  <si>
    <t>Employee related cost</t>
  </si>
  <si>
    <t>Maintenace</t>
  </si>
  <si>
    <t>Capital Expenditure</t>
  </si>
  <si>
    <t>Surplus/(deficit) for the year</t>
  </si>
  <si>
    <t>R</t>
  </si>
  <si>
    <t>Other appropriations as recognised in the Statement of Changes in Net Assets:</t>
  </si>
  <si>
    <t>Less</t>
  </si>
  <si>
    <t>Contributions : Capital Replacement Reserve</t>
  </si>
  <si>
    <t>Transfer CRR to acquire PPE</t>
  </si>
  <si>
    <t>Revenue from coal reserves</t>
  </si>
  <si>
    <t>Sale of erven</t>
  </si>
  <si>
    <t xml:space="preserve">The useful life of an item of property plant and equipment is reviewed periodically and, if expectations are significantly different from previous estimates, the depreciation charge from the current and future periods gets adjusted. </t>
  </si>
  <si>
    <t>Accounting policy for 2006/2007 financial year</t>
  </si>
  <si>
    <t>The useful life or depreciation method for items of property, plant and equipment that have been recognised was not reviewed as permitted in terms of Gazette 30013 of 29 June 2007.</t>
  </si>
  <si>
    <t>Impairment</t>
  </si>
  <si>
    <t>For the purposes of the cash flow statement, cash and cash equivalents comprise cash on hand, deposits held on call with banks and investments in financial instruments, net of bank overdrafts.  Bank overdrafts are recorded on the facility utilised.  Finance charges on bank overdrafts are expensed as incurred.</t>
  </si>
  <si>
    <t xml:space="preserve">Unauthorised expenditure is expenditure that has not been budgeted, expenditure that is not in terms of the conditions of an allocation received from another sphere of government, municipality or organ of state and expenditure in the form of a grant that is not permitted in terms of the Municipal Finance Management Act (Act 56 of 2003).  </t>
  </si>
  <si>
    <t>Unauthorised expenditure is accounted for as an expense in the Statement of Financial Performance and where recovered, it is subsequently accounted for as revenue in the Statement of Financial Performance.</t>
  </si>
  <si>
    <t>Irregular expenditure is expenditure that is contrary to the Municipal Finance Act (Act 56 of 2003), the Municipal Systems Act (Act 32 of 2000), the Public Office Bearers Act (Act 20 of 1998) or is in contravention of the municipality’s supply chain management policy.  Irregular expenditure excludes unauthorised expenditure.  Irregular expenditure is accounted for as expenditure in the Statement of Financial Performance and where recovered, it is subsequently accounted for as revenue in the Statement of Financial Performance.</t>
  </si>
  <si>
    <t>Capital development fund</t>
  </si>
  <si>
    <t>8030</t>
  </si>
  <si>
    <t>Land trust fund</t>
  </si>
  <si>
    <t>Longterm longservice</t>
  </si>
  <si>
    <t>Inca</t>
  </si>
  <si>
    <t>8405</t>
  </si>
  <si>
    <t>Deposits</t>
  </si>
  <si>
    <t>840</t>
  </si>
  <si>
    <t>Creditors</t>
  </si>
  <si>
    <t>8603</t>
  </si>
  <si>
    <t>Income not receipted</t>
  </si>
  <si>
    <t>8604</t>
  </si>
  <si>
    <t>Singelele conservation</t>
  </si>
  <si>
    <t>Computer system equipment</t>
  </si>
  <si>
    <t>Transitional grant</t>
  </si>
  <si>
    <t>Lucern</t>
  </si>
  <si>
    <t>Malale cemetary project</t>
  </si>
  <si>
    <t>Day call 0064399438</t>
  </si>
  <si>
    <t>Assets</t>
  </si>
  <si>
    <t>8029</t>
  </si>
  <si>
    <t>Musina Festival</t>
  </si>
  <si>
    <t>Letsema</t>
  </si>
  <si>
    <t>Debtors</t>
  </si>
  <si>
    <t>Vhembe District Municipality</t>
  </si>
  <si>
    <t>Rental</t>
  </si>
  <si>
    <t>Bank</t>
  </si>
  <si>
    <t>I, the undersigned, are responsible for the preparation of these annual financial statements which are set out on pages X-Z, in terms of section 126(1) of the Municipal Finance Management Act, and which I have signed on behalf of the municipality.</t>
  </si>
  <si>
    <t>DATE</t>
  </si>
  <si>
    <t>and,</t>
  </si>
  <si>
    <t>Certify that the remuneration of councillors (as disclosed in note 24) is in accordance with the Public Office Bearers Act, Act 20 of 1998 and the Minister of Provincial and Local Government’s determination of the upper limits of the salaries, allowances and benefits as promulgated annually.</t>
  </si>
  <si>
    <t>TRADE AND OTHER PAYABLES</t>
  </si>
  <si>
    <t>Trade and other payables</t>
  </si>
  <si>
    <t>SARS - VAT</t>
  </si>
  <si>
    <t>INVESTMENTS</t>
  </si>
  <si>
    <t>NON CURRENT RECEIVABLES</t>
  </si>
  <si>
    <t>Non-current receivables</t>
  </si>
  <si>
    <t>OTHER RECEIVABLES</t>
  </si>
  <si>
    <t>Other reveivables</t>
  </si>
  <si>
    <t>CASH AND CASH EQUIVALENTS</t>
  </si>
  <si>
    <t>Cash and cash equivalents</t>
  </si>
  <si>
    <t>Municipal</t>
  </si>
  <si>
    <t>INVESTMENT REVENUE</t>
  </si>
  <si>
    <t>Investment Revenue – external investments</t>
  </si>
  <si>
    <t>INTEREST OUTSTANDING DEBTORS</t>
  </si>
  <si>
    <t>Allowances</t>
  </si>
  <si>
    <t>Council Contributions</t>
  </si>
  <si>
    <t>FINANCE COST</t>
  </si>
  <si>
    <t>Finance cost</t>
  </si>
  <si>
    <t xml:space="preserve">GENERAL EXPENSES </t>
  </si>
  <si>
    <t xml:space="preserve">ADDITIONAL DISCLOSURES IN TERMS OFSECTION 125 OF MUNICIPAL FINANCE MANAGEMENT ACT, 2003 </t>
  </si>
  <si>
    <t>CONTINGENT LIABILITIES</t>
  </si>
  <si>
    <t>APPENDIX E (1)</t>
  </si>
  <si>
    <t>APPENDIX E (2)</t>
  </si>
  <si>
    <t>ACCOUNTING POLICY</t>
  </si>
  <si>
    <t>The financial statements have been prepared on an accrual basis of accounting and are in accordance with the historical cost basis unless otherwise stated.  Under this basis the effects of transactions and other events are recognised when they occur and are recorded in the financial statements within the period to which they relate.</t>
  </si>
  <si>
    <t>The annual financial statements have been prepared in accordance with the Standards of Generally Recognised Accounting Practices (GRAP) and the Standards of Generally Accepted Municipal Accounting Practices (GAMAP) prescribed by the Minister of Finance in terms of General Notices 991 and 992 of 2005.</t>
  </si>
  <si>
    <t>These standards are summarised as follows:</t>
  </si>
  <si>
    <r>
      <t>1)</t>
    </r>
    <r>
      <rPr>
        <sz val="7"/>
        <rFont val="Times New Roman"/>
        <family val="1"/>
      </rPr>
      <t xml:space="preserve">       </t>
    </r>
    <r>
      <rPr>
        <sz val="8"/>
        <rFont val="Arial"/>
        <family val="2"/>
      </rPr>
      <t>Print-outs of the FAR per department must be made and distributed to the Heads of every department.  The Heads of departments must scrutinise the FAR applicable to their department and identify assets that meet the criteria for non-current assets held for sale as set out by IFRS5.6 to 11.</t>
    </r>
  </si>
  <si>
    <r>
      <t>1)</t>
    </r>
    <r>
      <rPr>
        <sz val="7"/>
        <rFont val="Times New Roman"/>
        <family val="1"/>
      </rPr>
      <t xml:space="preserve">       </t>
    </r>
    <r>
      <rPr>
        <sz val="8"/>
        <rFont val="Arial"/>
        <family val="2"/>
      </rPr>
      <t>Non Current Assets held for sale will no longer be recorded as part of PPE and will not necessarily be carried at cost less accumulated depreciation.</t>
    </r>
  </si>
  <si>
    <t>(AC 142)</t>
  </si>
  <si>
    <r>
      <t>2)</t>
    </r>
    <r>
      <rPr>
        <sz val="7"/>
        <rFont val="Times New Roman"/>
        <family val="1"/>
      </rPr>
      <t xml:space="preserve">       </t>
    </r>
    <r>
      <rPr>
        <sz val="8"/>
        <rFont val="Arial"/>
        <family val="2"/>
      </rPr>
      <t>The Heads of departments must return the departmental FAR, to the CFO and indicate the assets that meet the above mentioned criteria.</t>
    </r>
  </si>
  <si>
    <r>
      <t>2)</t>
    </r>
    <r>
      <rPr>
        <sz val="7"/>
        <rFont val="Times New Roman"/>
        <family val="1"/>
      </rPr>
      <t xml:space="preserve">       </t>
    </r>
    <r>
      <rPr>
        <sz val="8"/>
        <rFont val="Arial"/>
        <family val="2"/>
      </rPr>
      <t>No current assets held for sale will be recorded as such as part of current assets and will be recorded at the lower of carrying amount and fair value less costs to sell.</t>
    </r>
  </si>
  <si>
    <r>
      <t>3)</t>
    </r>
    <r>
      <rPr>
        <sz val="7"/>
        <rFont val="Times New Roman"/>
        <family val="1"/>
      </rPr>
      <t xml:space="preserve">       </t>
    </r>
    <r>
      <rPr>
        <sz val="8"/>
        <rFont val="Arial"/>
        <family val="2"/>
      </rPr>
      <t xml:space="preserve"> CFO must ensure that every department returned the departmental-FAR and ensure that it has been signed-off as proof that it has been reviewed. </t>
    </r>
  </si>
  <si>
    <r>
      <t>3)</t>
    </r>
    <r>
      <rPr>
        <sz val="7"/>
        <rFont val="Times New Roman"/>
        <family val="1"/>
      </rPr>
      <t xml:space="preserve">       </t>
    </r>
    <r>
      <rPr>
        <sz val="8"/>
        <rFont val="Arial"/>
        <family val="2"/>
      </rPr>
      <t>Impairment losses in respect of non current assets held for sale will be recorded in the Statement of Financial Performance if such impairment losses exist.</t>
    </r>
  </si>
  <si>
    <r>
      <t>4)</t>
    </r>
    <r>
      <rPr>
        <sz val="7"/>
        <rFont val="Times New Roman"/>
        <family val="1"/>
      </rPr>
      <t xml:space="preserve">       </t>
    </r>
    <r>
      <rPr>
        <sz val="8"/>
        <rFont val="Arial"/>
        <family val="2"/>
      </rPr>
      <t>Scrutinise the fixed asset votes in the GL after year-end up to the date when the financial statements are prepared, to identify assets that are sold after year-end and meet the IFRS 5.6 to 11 requirements at year end. Ensure that these assets are classified as Non-current assets held for sale in the Financial Statements for the year under review.</t>
    </r>
  </si>
  <si>
    <r>
      <t>5)</t>
    </r>
    <r>
      <rPr>
        <sz val="7"/>
        <rFont val="Times New Roman"/>
        <family val="1"/>
      </rPr>
      <t xml:space="preserve">       </t>
    </r>
    <r>
      <rPr>
        <sz val="8"/>
        <rFont val="Arial"/>
        <family val="2"/>
      </rPr>
      <t>Measure and disclose the Non Current Assets held for Sale in accordance with IFRS 5 requirements.</t>
    </r>
  </si>
  <si>
    <t>IFRS 7</t>
  </si>
  <si>
    <t>Financial instruments:  disclosures</t>
  </si>
  <si>
    <t>Entire standard to be replaced by IAS 32 (AC 125) issued August 2006 and effective for financial statements covering periods beginning on or after 1 January 1998</t>
  </si>
  <si>
    <t>The municipality contributes towards retirement benefits of its employees and councillors to the under-mentioned pension funds:</t>
  </si>
  <si>
    <t>Councillors are members of the Municipal Councillor’s Pension Fund that was established in terms of the Remuneration of Public Office Bearers Act 1998 (Act 20 of 1998).</t>
  </si>
  <si>
    <t>Obligations for contributions to defined contribution plans are recognised as an expense in the income statement as incurred.</t>
  </si>
  <si>
    <r>
      <t xml:space="preserve">· </t>
    </r>
    <r>
      <rPr>
        <sz val="10"/>
        <color indexed="8"/>
        <rFont val="Arial"/>
        <family val="2"/>
      </rPr>
      <t xml:space="preserve">It is probable that the economic benefits or service potential associated with the transaction will flow to the municipality;  and </t>
    </r>
  </si>
  <si>
    <t>Service charges from sewerage and sanitation are based on the number of sewerage connections on each developed property using the tariffs and are levied monthly, as approved by Vhembe District Municipality.</t>
  </si>
  <si>
    <r>
      <t xml:space="preserve">· </t>
    </r>
    <r>
      <rPr>
        <sz val="10"/>
        <color indexed="8"/>
        <rFont val="Arial"/>
        <family val="2"/>
      </rPr>
      <t>It is probable that the economic benefits or service potential associated with the transaction will flow to the municipality;</t>
    </r>
  </si>
  <si>
    <t>NOTES TO THE FINANCIAL STATEMETNTS</t>
  </si>
  <si>
    <t>NOTES TO THE FINANCIAL STATEMENTS</t>
  </si>
  <si>
    <t>The municipality provides post employment medical care benefits to its employees and their legitimate spouses.  The entitlement to post–retirement medical benefits is based on employees remaining in service up to retirement age and the completion of a minimum service period.  The expected cost, of these benefits is accrued over the period of employment.</t>
  </si>
  <si>
    <t>Post employment medical care benefits are accounted for in accordance with the exemptions in terms of Gazette 30013 of 29 June 2007.</t>
  </si>
  <si>
    <t>Borrowing costs are recognised as an expense in the Statement of Financial Performance.</t>
  </si>
  <si>
    <t>Recognised amounts in the financial statements are adjusted to reflect events arising after the balance sheet date that provide evidence of conditions that existed at the balance sheet date.  Events after the balance sheet date that are indicative of conditions that arose after the balance sheet date are dealt with by way of a note to the financial statements.</t>
  </si>
  <si>
    <t>Capital under construction</t>
  </si>
  <si>
    <t>Depreciation – based on cost</t>
  </si>
  <si>
    <t>Carrying value of disposals</t>
  </si>
  <si>
    <t>Accumulated depreciation</t>
  </si>
  <si>
    <t>Other movements</t>
  </si>
  <si>
    <t>Land and Buildings</t>
  </si>
  <si>
    <t>Community Assets</t>
  </si>
  <si>
    <t>Other Assets</t>
  </si>
  <si>
    <t>Short Term Fixed Deposits</t>
  </si>
  <si>
    <t xml:space="preserve">ABSA Bank </t>
  </si>
  <si>
    <t>First National Bank</t>
  </si>
  <si>
    <t>Investec Bank</t>
  </si>
  <si>
    <t>Nedbank</t>
  </si>
  <si>
    <t>Long Term Fixed Deposits</t>
  </si>
  <si>
    <t>ABSA Bank</t>
  </si>
  <si>
    <t>Total Investments</t>
  </si>
  <si>
    <t>Average rate of return</t>
  </si>
  <si>
    <t>Council’s valuation of investments</t>
  </si>
  <si>
    <t>No investments have been written off during the year.</t>
  </si>
  <si>
    <t>Refer to Appendix A for more detail on external loans.</t>
  </si>
  <si>
    <t>Disclosure in terms of the MFMA, 2003, Section 125(2)(b).</t>
  </si>
  <si>
    <t>Motor car loans</t>
  </si>
  <si>
    <t>Housing selling scheme loans</t>
  </si>
  <si>
    <t>Sale of erven loans</t>
  </si>
  <si>
    <t>Country Club loan</t>
  </si>
  <si>
    <t>Inyanda loan</t>
  </si>
  <si>
    <t>Engineering service loans</t>
  </si>
  <si>
    <t>Sub-total</t>
  </si>
  <si>
    <t>Less:  current portion transferred to current receivables</t>
  </si>
  <si>
    <t>Total long term receivables</t>
  </si>
  <si>
    <t>INVENTORY</t>
  </si>
  <si>
    <t>Consumable stock</t>
  </si>
  <si>
    <t>Unsold properties</t>
  </si>
  <si>
    <t>Water at cost</t>
  </si>
  <si>
    <t>Stock shortages written off during the year</t>
  </si>
  <si>
    <t>CONSUMER DEBTORS</t>
  </si>
  <si>
    <t>Gross Balance</t>
  </si>
  <si>
    <t>Provision for Bad Debt</t>
  </si>
  <si>
    <t>Net Balance</t>
  </si>
  <si>
    <t>Service debtors:</t>
  </si>
  <si>
    <t xml:space="preserve">Water </t>
  </si>
  <si>
    <t xml:space="preserve">Sewerage </t>
  </si>
  <si>
    <t>Refuse</t>
  </si>
  <si>
    <t>Contribution to bad debt provision</t>
  </si>
  <si>
    <t>Debt written off for the year</t>
  </si>
  <si>
    <t>Solid Waste Upgrading Musina</t>
  </si>
  <si>
    <t>PHP Housing</t>
  </si>
  <si>
    <t>CREDITORS - GENERAL</t>
  </si>
  <si>
    <t>CREDITORS</t>
  </si>
  <si>
    <t>Assets - rates and general</t>
  </si>
  <si>
    <t>assets</t>
  </si>
  <si>
    <t>Assets trading services</t>
  </si>
  <si>
    <t>FIXED ASSETS - GENERAL</t>
  </si>
  <si>
    <t>FIXED ASSETS</t>
  </si>
  <si>
    <t>8400</t>
  </si>
  <si>
    <t>Capital general</t>
  </si>
  <si>
    <t>source of finance</t>
  </si>
  <si>
    <t>8401</t>
  </si>
  <si>
    <t>Capital trading</t>
  </si>
  <si>
    <t>8402</t>
  </si>
  <si>
    <t>Contribution out of income</t>
  </si>
  <si>
    <t>8403</t>
  </si>
  <si>
    <t>8404</t>
  </si>
  <si>
    <t>Loans repayment</t>
  </si>
  <si>
    <t>Loans repayment rates and gen</t>
  </si>
  <si>
    <t>FIXED ASSETS - SOURCE OF FINANCE</t>
  </si>
  <si>
    <t xml:space="preserve">Currently, operating lease payments are accounted for based on the cash flows in the lease agreement and therefore the actual amount of lease instalments incurred per annum is recognised in the Statement of Financial Performance. Once straight lining is donethe amount recognised in the statement of financial performance will be the average annual instalment calculated over the entire lifespan of the leaser. If the actual instalement in a year is more than the average instalment the difference will be shown either as a prepayment (debtor) in the AFS or if the actual instalments in a year are less than the average instalment the difference will be shown as an accrual (creditor) in the AFS. </t>
  </si>
  <si>
    <r>
      <t>3)</t>
    </r>
    <r>
      <rPr>
        <sz val="7"/>
        <rFont val="Times New Roman"/>
        <family val="1"/>
      </rPr>
      <t xml:space="preserve">     </t>
    </r>
    <r>
      <rPr>
        <sz val="8"/>
        <rFont val="Arial"/>
        <family val="2"/>
      </rPr>
      <t>Assets held in terms of Finance Leases as defined in IAS 17 must be capitalised and subsequently depreciated and/or impaired.</t>
    </r>
  </si>
  <si>
    <r>
      <t>4)</t>
    </r>
    <r>
      <rPr>
        <sz val="7"/>
        <rFont val="Times New Roman"/>
        <family val="1"/>
      </rPr>
      <t xml:space="preserve">  </t>
    </r>
    <r>
      <rPr>
        <sz val="8"/>
        <rFont val="Arial"/>
        <family val="2"/>
      </rPr>
      <t>Operating Leases that have fluctuating payment arrangements must be identified and operating lease expenses that fall within this category must be straight-lined (smoothed).</t>
    </r>
  </si>
  <si>
    <t>IAS 19</t>
  </si>
  <si>
    <t>Employee benefits</t>
  </si>
  <si>
    <t>Defined benefit accounting as far as it relates to defined benefit plans accounted for as defined contribution plans and defined benefit obligation disclosed by narrative information (IAS 19.29, 48 – 119 and 120A(c) – (q))</t>
  </si>
  <si>
    <r>
      <t>1)</t>
    </r>
    <r>
      <rPr>
        <sz val="7"/>
        <rFont val="Times New Roman"/>
        <family val="1"/>
      </rPr>
      <t xml:space="preserve">       </t>
    </r>
    <r>
      <rPr>
        <sz val="8"/>
        <rFont val="Arial"/>
        <family val="2"/>
      </rPr>
      <t>The municipality must obtain actuarial valuation reports of all defined benefit plans.</t>
    </r>
  </si>
  <si>
    <t>Total Expenditure</t>
  </si>
  <si>
    <t>NET SURPLUS/(DEFICIT) FOR THE YEAR</t>
  </si>
  <si>
    <t>2006</t>
  </si>
  <si>
    <t>2007</t>
  </si>
  <si>
    <t>Opening balance</t>
  </si>
  <si>
    <t>Correction of error (note 29)</t>
  </si>
  <si>
    <t>Restated balance</t>
  </si>
  <si>
    <t>Net surplus for the year</t>
  </si>
  <si>
    <t>Capital grants used to purchase PPE</t>
  </si>
  <si>
    <t>Donated/contributed PPE</t>
  </si>
  <si>
    <t>Offsetting of depreciation</t>
  </si>
  <si>
    <t>Correction of error (note 32)</t>
  </si>
  <si>
    <t>Changes in accounting estimate</t>
  </si>
  <si>
    <t>080/310/1021</t>
  </si>
  <si>
    <t>080/310/1022</t>
  </si>
  <si>
    <t>080/310/1023</t>
  </si>
  <si>
    <t>080/310/1024</t>
  </si>
  <si>
    <t>080/310/1029</t>
  </si>
  <si>
    <t>080/370/1071</t>
  </si>
  <si>
    <t>080/380/1101</t>
  </si>
  <si>
    <t>080/380/1111</t>
  </si>
  <si>
    <t>080/380/1215</t>
  </si>
  <si>
    <t>080/440/1308</t>
  </si>
  <si>
    <t>080/440/1311</t>
  </si>
  <si>
    <t>080/440/1327</t>
  </si>
  <si>
    <t>080/440/1336</t>
  </si>
  <si>
    <t>080/440/1347</t>
  </si>
  <si>
    <t>080/440/1348</t>
  </si>
  <si>
    <t>080/440/1350</t>
  </si>
  <si>
    <t>080/440/1364</t>
  </si>
  <si>
    <t>080/440/1366</t>
  </si>
  <si>
    <t>080/440/1367</t>
  </si>
  <si>
    <t>080/710/1200</t>
  </si>
  <si>
    <t>Development</t>
  </si>
  <si>
    <t>new</t>
  </si>
  <si>
    <t>080/710/7628</t>
  </si>
  <si>
    <t>Speed</t>
  </si>
  <si>
    <t>Bumps</t>
  </si>
  <si>
    <t>081/161/1296</t>
  </si>
  <si>
    <t>water</t>
  </si>
  <si>
    <t>infras</t>
  </si>
  <si>
    <t>081/161/1297</t>
  </si>
  <si>
    <t>Construction</t>
  </si>
  <si>
    <t>concr</t>
  </si>
  <si>
    <t>081/040/0071</t>
  </si>
  <si>
    <t>Was</t>
  </si>
  <si>
    <t>081/040/0101</t>
  </si>
  <si>
    <t>081/040/0221</t>
  </si>
  <si>
    <t>Dept.of</t>
  </si>
  <si>
    <t>Local</t>
  </si>
  <si>
    <t>Gov</t>
  </si>
  <si>
    <t>081/041/0256</t>
  </si>
  <si>
    <t>081/070/0140</t>
  </si>
  <si>
    <t>081/140/0199</t>
  </si>
  <si>
    <t>Building</t>
  </si>
  <si>
    <t>081/300/1001</t>
  </si>
  <si>
    <t>081/300/1002</t>
  </si>
  <si>
    <t>081/300/1004</t>
  </si>
  <si>
    <t>081/300/1005</t>
  </si>
  <si>
    <t>081/300/1009</t>
  </si>
  <si>
    <t>081/300/1010</t>
  </si>
  <si>
    <t>081/300/1012</t>
  </si>
  <si>
    <t>081/300/1013</t>
  </si>
  <si>
    <t>081/310/1021</t>
  </si>
  <si>
    <t>081/310/1022</t>
  </si>
  <si>
    <t>081/310/1023</t>
  </si>
  <si>
    <t>081/310/1024</t>
  </si>
  <si>
    <t>081/310/1029</t>
  </si>
  <si>
    <t>081/370/1071</t>
  </si>
  <si>
    <t>081/380/1111</t>
  </si>
  <si>
    <t>081/380/1138</t>
  </si>
  <si>
    <t>Tarred</t>
  </si>
  <si>
    <t>081/380/1146</t>
  </si>
  <si>
    <t>Sidewalks</t>
  </si>
  <si>
    <t>Paveme</t>
  </si>
  <si>
    <t>081/380/1215</t>
  </si>
  <si>
    <t>081/380/1220</t>
  </si>
  <si>
    <t>081/380/1224</t>
  </si>
  <si>
    <t>081/390/1231</t>
  </si>
  <si>
    <t>081/400/1241</t>
  </si>
  <si>
    <t>081/440/1311</t>
  </si>
  <si>
    <t>081/440/1325</t>
  </si>
  <si>
    <t>TELKOM SA LTD</t>
  </si>
  <si>
    <t xml:space="preserve">     Total 30 June 2008</t>
  </si>
  <si>
    <t>Total Payment</t>
  </si>
  <si>
    <t>Interest Portion</t>
  </si>
  <si>
    <t xml:space="preserve">     Total July 2008 to June 2009</t>
  </si>
  <si>
    <t xml:space="preserve">     Total July 2009</t>
  </si>
  <si>
    <t>EXEMPTIONS OF MUNICIPAL FINANCE MANAGEMENT ACT, 2003</t>
  </si>
  <si>
    <t>The Minister of Finance has, in terms of General notice 552 of 2007 exempted compliance with certain of the above mentioned standards and aspects or parts of these standards listed in Accounting Policy 1. In the table set out below, the exemptions offered have been listed; together with an indication of the process that the municipality will follow regarding plans to implement the exemptions. Furthermore, the extent to which information in the annual financial statements would need to be adjusted to achieve compliance with exempted standards has also been stated in the table.</t>
  </si>
  <si>
    <t>MUSINA MUNICIPALITY</t>
  </si>
  <si>
    <t>EXEMPTIONS FROM MUNICIPAL MANAGEMENT ACT IN 2006/2007 AND 2007/2008</t>
  </si>
  <si>
    <t>Std. no.</t>
  </si>
  <si>
    <t>Standard title</t>
  </si>
  <si>
    <t>GRAP, GAMAP and/or SA GAAP requirement(s) exempted in terms of General Notice 552 of 2007</t>
  </si>
  <si>
    <t>Exemption Adopted  Y/N</t>
  </si>
  <si>
    <t>Description of implementation plans that still need to be implemented to achieve full compliance with exempted standards</t>
  </si>
  <si>
    <t>Highly likely that no adjustments to the AFS will be required as there are no fundamental differences between these GAMAP and GRAP standards.</t>
  </si>
  <si>
    <t>GRAP 5 Borrowing Costs</t>
  </si>
  <si>
    <t>GRAP 5 Borrowing Costs. Determine the applicable accounting treatment and disclosure requirements of GRAP 5 for the municipality.</t>
  </si>
  <si>
    <t>A portion of interest cost on interest bearing borrowings, in respect of assets that take a substantial period of time for construction and before they are ready for use, may be capitalised to the relevant asset and will result in interest cost in the Statement of Financial Performance reducing and the cost of the asset increasing.</t>
  </si>
  <si>
    <t>GRAP 6 Consolidated AFS</t>
  </si>
  <si>
    <t>No adjustment required.</t>
  </si>
  <si>
    <t>GRAP 7 Associates</t>
  </si>
  <si>
    <t>The municipality did not invest in an associate</t>
  </si>
  <si>
    <t>GRAP 8 JV’s</t>
  </si>
  <si>
    <t>Them municipality did not enter into a Joint Venture</t>
  </si>
  <si>
    <t>GRAP 9 Revenue</t>
  </si>
  <si>
    <t>GRAP 10 Financial Reporting in Hyperinflationary Economies</t>
  </si>
  <si>
    <t>GRAP 11 Construction Contracts</t>
  </si>
  <si>
    <t>GRAP 10 and 11. The municipality does not have these types of transactions.</t>
  </si>
  <si>
    <t>GRAP 12 Inventories</t>
  </si>
  <si>
    <t>Adjustment jnl 203853 &amp; 203955</t>
  </si>
  <si>
    <r>
      <t>(</t>
    </r>
    <r>
      <rPr>
        <i/>
        <sz val="10"/>
        <color indexed="8"/>
        <rFont val="Arial"/>
        <family val="2"/>
      </rPr>
      <t>see note 8</t>
    </r>
    <r>
      <rPr>
        <sz val="10"/>
        <color indexed="8"/>
        <rFont val="Arial"/>
        <family val="2"/>
      </rPr>
      <t>)</t>
    </r>
  </si>
  <si>
    <r>
      <t xml:space="preserve">I, </t>
    </r>
    <r>
      <rPr>
        <b/>
        <sz val="10"/>
        <color indexed="8"/>
        <rFont val="Arial"/>
        <family val="2"/>
      </rPr>
      <t>Abram Ntshavheni Luruli</t>
    </r>
    <r>
      <rPr>
        <sz val="10"/>
        <color indexed="8"/>
        <rFont val="Arial"/>
        <family val="2"/>
      </rPr>
      <t>, Municipal Manager, certify that the remuneration of councillors are in accordance with the Public Office Bearers Act, Act 20 of 1998 and the Minister of Provincial and Local Government’s determination of the upper limits of the salaries, allowances and benefits as promulgated by Government Gazette 28900, dated  30 June 2006 under Notice number R653.</t>
    </r>
  </si>
  <si>
    <t>RELATED PARTY DISCLOSURES</t>
  </si>
  <si>
    <t xml:space="preserve">During the current financial year the following investment was made in Zelpy 1903 Pty Ltd.  </t>
  </si>
  <si>
    <t>The detail is as follows:</t>
  </si>
  <si>
    <t>The share premius was increased in Zelpy 1903 Pty Ltd</t>
  </si>
  <si>
    <t>Musina Local Municipality is the Parent and ulimate controlling party of Zelpy 1903 Pty Ltd, who owns 100% shareholding in Zelpy 1903 Pty Ltd.</t>
  </si>
  <si>
    <t>A. N. LURULI - CEO</t>
  </si>
  <si>
    <t>T. MOCKE - DIRECTOR FINANCE</t>
  </si>
  <si>
    <t>DIRECTORS OF ZELPY COMPENSATION</t>
  </si>
  <si>
    <t xml:space="preserve">J. DU TOIT - DIRECTOR TECHNICAL -CHAIRPERSON </t>
  </si>
  <si>
    <t>The Directors of Zelpy 1903 Pty Ltd are not receiving any compensation and is appointed on a volentary basis</t>
  </si>
  <si>
    <t>Water Services Provider</t>
  </si>
  <si>
    <t>Musina Local Municipality has a service level agreement with Vhembe District Council to be the Water Service Provider for Vhembe District council who is the Water Service Authority</t>
  </si>
  <si>
    <t>Amount invested 07/08</t>
  </si>
  <si>
    <t>KEY MANAGEMENT PERSONNEL</t>
  </si>
  <si>
    <t>LEBOHANG SEBOLA - PROJECT MANAGER</t>
  </si>
  <si>
    <t>PARENT</t>
  </si>
  <si>
    <t>Property Rental</t>
  </si>
  <si>
    <t>Sand &amp; Topsoil</t>
  </si>
  <si>
    <t>Vhembe billing 04 - 07</t>
  </si>
  <si>
    <t>Vhembe District Billing 04 -07</t>
  </si>
  <si>
    <t xml:space="preserve">DEBTORS BY CONSUMER CLASSIFICATION     </t>
  </si>
  <si>
    <t>Residential 4</t>
  </si>
  <si>
    <t>State Property</t>
  </si>
  <si>
    <t>REVALUATION OF LAND</t>
  </si>
  <si>
    <t>Immovable capital assets which falls under the inventory/stock accounted as such.</t>
  </si>
  <si>
    <t>Loans and receivables are recognised initially at cost which represents fair value.</t>
  </si>
  <si>
    <t>Trade and other receivables are recognised initially at cost which represents fair value.</t>
  </si>
  <si>
    <t xml:space="preserve">Financial liabilities are recognised initially at cost which represents fair value. </t>
  </si>
  <si>
    <t>Bad provision are not accounted for under IAS39 and thus that was not tested for impairment in terms of  Gazette 30013 of June 2007</t>
  </si>
  <si>
    <t>Operating leases are those leases that do not fall within the scope of the above definition.  Operating lease payments are recognised according to actual cash outflows as per the lease contract as permited in terms of Gazette 30013 of 29 June 2007.</t>
  </si>
  <si>
    <t xml:space="preserve">Vhembe District Indigent </t>
  </si>
  <si>
    <t>Investment property is valued once every three years using the net rental value method.  The valuations are prepared  considering the aggregate of the net annual rent receivable from the properties and where relevant, associated costs.  A yield which reflects the specific risks inherent in the net cash flow is then applied to the net annual rentals to arrive at the property valuation.</t>
  </si>
  <si>
    <t>The revaluation is carried out by an independant valuer.</t>
  </si>
  <si>
    <t>Vat Receivable</t>
  </si>
  <si>
    <t>There are no key assumptions concerning the future and other uncertainty on the reporting date that have a signaficant risk of causing material adjustments in subsequent for futere financial years</t>
  </si>
  <si>
    <t>KEY ASSUMPTIONS</t>
  </si>
  <si>
    <t>Revenue from fines is recognised when payment is received and the revenue from the issuing of summonses is recognised when collected.   An estimate should be made for the revenue amount on spot fines and summons based on past experiences. Where a reliable estimate can not be made on revenue from summons and spot fines the revenue of summons should be recognised when the public prosecuter pays over to the entity the cash actually collected on summons issued.</t>
  </si>
  <si>
    <t>*  Note 43</t>
  </si>
  <si>
    <t>25 - 27</t>
  </si>
  <si>
    <t>49 - 56</t>
  </si>
</sst>
</file>

<file path=xl/styles.xml><?xml version="1.0" encoding="utf-8"?>
<styleSheet xmlns="http://schemas.openxmlformats.org/spreadsheetml/2006/main">
  <numFmts count="13">
    <numFmt numFmtId="43" formatCode="_ * #,##0.00_ ;_ * \-#,##0.00_ ;_ * &quot;-&quot;??_ ;_ @_ "/>
    <numFmt numFmtId="164" formatCode="_(* #,##0.00_);_(* \(#,##0.00\);_(* &quot;-&quot;??_);_(@_)"/>
    <numFmt numFmtId="165" formatCode="_ * #,##0_ ;_ * \-#,##0_ ;_ * &quot;-&quot;??_ ;_ @_ "/>
    <numFmt numFmtId="166" formatCode="#\ ###\ ##0;\(#\ ###\ ##0\)"/>
    <numFmt numFmtId="167" formatCode="0.0\ &quot;million&quot;;\(0.0\ &quot;million&quot;\)"/>
    <numFmt numFmtId="168" formatCode="_(* #,##0_);_(* \(#,##0\);_(* &quot;-&quot;??_);_(@_)"/>
    <numFmt numFmtId="169" formatCode="_(* #,##0.00000_);_(* \(#,##0.00000\);_(* &quot;-&quot;??_);_(@_)"/>
    <numFmt numFmtId="170" formatCode="_(* #,##0.0_);_(* \(#,##0.0\);_(* &quot;-&quot;??_);_(@_)"/>
    <numFmt numFmtId="171" formatCode="0.0%"/>
    <numFmt numFmtId="172" formatCode="&quot;R&quot;0.0\ &quot;million&quot;;\(0.0\ &quot;million&quot;\)"/>
    <numFmt numFmtId="173" formatCode="_(* #\ ###\ ##0_);_(* \(#\ ###\ ##0\);_(* &quot;-&quot;??_);_(@_)"/>
    <numFmt numFmtId="174" formatCode="#\ ###\ ##0_);\(#\ ###\ ##0\)"/>
    <numFmt numFmtId="175" formatCode="#,##0_ ;\-#,##0\ "/>
  </numFmts>
  <fonts count="106">
    <font>
      <sz val="11"/>
      <color theme="1"/>
      <name val="Calibri"/>
      <family val="2"/>
      <scheme val="minor"/>
    </font>
    <font>
      <sz val="10"/>
      <color indexed="8"/>
      <name val="Arial"/>
      <family val="2"/>
    </font>
    <font>
      <sz val="10"/>
      <color indexed="8"/>
      <name val="Arial"/>
      <family val="2"/>
    </font>
    <font>
      <sz val="10"/>
      <color indexed="8"/>
      <name val="Arial"/>
      <family val="2"/>
    </font>
    <font>
      <sz val="10"/>
      <color indexed="8"/>
      <name val="Arial"/>
      <family val="2"/>
    </font>
    <font>
      <sz val="10"/>
      <color indexed="8"/>
      <name val="Arial"/>
      <family val="2"/>
    </font>
    <font>
      <sz val="10"/>
      <color indexed="8"/>
      <name val="Arial"/>
      <family val="2"/>
    </font>
    <font>
      <b/>
      <sz val="10"/>
      <color indexed="8"/>
      <name val="Arial"/>
      <family val="2"/>
    </font>
    <font>
      <sz val="8"/>
      <color indexed="81"/>
      <name val="Tahoma"/>
      <family val="2"/>
    </font>
    <font>
      <b/>
      <sz val="8"/>
      <color indexed="81"/>
      <name val="Tahoma"/>
      <family val="2"/>
    </font>
    <font>
      <b/>
      <sz val="6"/>
      <color indexed="8"/>
      <name val="Arial"/>
      <family val="2"/>
    </font>
    <font>
      <b/>
      <sz val="8"/>
      <color indexed="8"/>
      <name val="Arial"/>
      <family val="2"/>
    </font>
    <font>
      <sz val="11"/>
      <color indexed="8"/>
      <name val="Calibri"/>
      <family val="2"/>
    </font>
    <font>
      <sz val="12"/>
      <color indexed="8"/>
      <name val="Arial"/>
      <family val="2"/>
    </font>
    <font>
      <b/>
      <sz val="10"/>
      <color indexed="8"/>
      <name val="Arial"/>
      <family val="2"/>
    </font>
    <font>
      <sz val="10"/>
      <color indexed="8"/>
      <name val="Arial"/>
      <family val="2"/>
    </font>
    <font>
      <b/>
      <sz val="12"/>
      <color indexed="8"/>
      <name val="ARIAL"/>
      <family val="2"/>
    </font>
    <font>
      <sz val="11"/>
      <color indexed="8"/>
      <name val="Arial"/>
      <family val="2"/>
    </font>
    <font>
      <b/>
      <i/>
      <sz val="10"/>
      <color indexed="8"/>
      <name val="Arial"/>
      <family val="2"/>
    </font>
    <font>
      <sz val="9.5"/>
      <color indexed="8"/>
      <name val="Arial"/>
      <family val="2"/>
    </font>
    <font>
      <sz val="8"/>
      <color indexed="8"/>
      <name val="Arial"/>
      <family val="2"/>
    </font>
    <font>
      <b/>
      <sz val="8"/>
      <color indexed="8"/>
      <name val="Arial"/>
      <family val="2"/>
    </font>
    <font>
      <b/>
      <sz val="9.5"/>
      <color indexed="8"/>
      <name val="Arial"/>
      <family val="2"/>
    </font>
    <font>
      <b/>
      <sz val="7.5"/>
      <color indexed="8"/>
      <name val="Arial"/>
      <family val="2"/>
    </font>
    <font>
      <b/>
      <sz val="9"/>
      <color indexed="8"/>
      <name val="Arial"/>
      <family val="2"/>
    </font>
    <font>
      <sz val="7.5"/>
      <color indexed="8"/>
      <name val="Arial"/>
      <family val="2"/>
    </font>
    <font>
      <b/>
      <sz val="11"/>
      <color indexed="8"/>
      <name val="Arial"/>
      <family val="2"/>
    </font>
    <font>
      <b/>
      <sz val="6"/>
      <color indexed="8"/>
      <name val="Arial"/>
      <family val="2"/>
    </font>
    <font>
      <sz val="1"/>
      <color indexed="8"/>
      <name val="Arial"/>
      <family val="2"/>
    </font>
    <font>
      <b/>
      <sz val="1"/>
      <color indexed="8"/>
      <name val="Arial"/>
      <family val="2"/>
    </font>
    <font>
      <sz val="10"/>
      <color indexed="8"/>
      <name val="Arial"/>
      <family val="2"/>
    </font>
    <font>
      <b/>
      <sz val="10"/>
      <color indexed="8"/>
      <name val="Arial"/>
      <family val="2"/>
    </font>
    <font>
      <sz val="9"/>
      <color indexed="81"/>
      <name val="Tahoma"/>
      <family val="2"/>
    </font>
    <font>
      <b/>
      <sz val="9"/>
      <color indexed="81"/>
      <name val="Tahoma"/>
      <family val="2"/>
    </font>
    <font>
      <sz val="8"/>
      <name val="Calibri"/>
      <family val="2"/>
    </font>
    <font>
      <sz val="10"/>
      <name val="Arial"/>
      <family val="2"/>
    </font>
    <font>
      <b/>
      <sz val="10"/>
      <name val="Arial"/>
      <family val="2"/>
    </font>
    <font>
      <sz val="10"/>
      <name val="Arial"/>
      <family val="2"/>
    </font>
    <font>
      <b/>
      <sz val="14"/>
      <color indexed="8"/>
      <name val="ARIAL"/>
      <family val="2"/>
    </font>
    <font>
      <b/>
      <sz val="12"/>
      <name val="Arial"/>
      <family val="2"/>
    </font>
    <font>
      <b/>
      <u val="singleAccounting"/>
      <sz val="10"/>
      <color indexed="8"/>
      <name val="Arial"/>
      <family val="2"/>
    </font>
    <font>
      <b/>
      <u/>
      <sz val="14"/>
      <color indexed="8"/>
      <name val="Calibri"/>
      <family val="2"/>
    </font>
    <font>
      <sz val="11"/>
      <color indexed="8"/>
      <name val="Calibri"/>
      <family val="2"/>
    </font>
    <font>
      <b/>
      <sz val="11"/>
      <color indexed="10"/>
      <name val="Calibri"/>
      <family val="2"/>
    </font>
    <font>
      <b/>
      <sz val="11"/>
      <color indexed="10"/>
      <name val="Calibri"/>
      <family val="2"/>
    </font>
    <font>
      <sz val="12"/>
      <name val="Arial"/>
      <family val="2"/>
    </font>
    <font>
      <b/>
      <sz val="8"/>
      <name val="Arial"/>
      <family val="2"/>
    </font>
    <font>
      <sz val="8"/>
      <name val="Arial"/>
      <family val="2"/>
    </font>
    <font>
      <sz val="7"/>
      <name val="Times New Roman"/>
      <family val="1"/>
    </font>
    <font>
      <sz val="8"/>
      <name val="Wingdings"/>
      <charset val="2"/>
    </font>
    <font>
      <sz val="8"/>
      <name val="Symbol"/>
      <family val="1"/>
      <charset val="2"/>
    </font>
    <font>
      <sz val="11"/>
      <name val="Arial"/>
      <family val="2"/>
    </font>
    <font>
      <sz val="7"/>
      <color indexed="8"/>
      <name val="Times New Roman"/>
      <family val="1"/>
    </font>
    <font>
      <sz val="8"/>
      <color indexed="8"/>
      <name val="Symbol"/>
      <family val="1"/>
      <charset val="2"/>
    </font>
    <font>
      <b/>
      <u/>
      <sz val="12"/>
      <color indexed="8"/>
      <name val="ARIAL"/>
      <family val="2"/>
    </font>
    <font>
      <b/>
      <u/>
      <sz val="12"/>
      <name val="Arial"/>
      <family val="2"/>
    </font>
    <font>
      <sz val="10"/>
      <color indexed="8"/>
      <name val="Arial"/>
      <family val="2"/>
    </font>
    <font>
      <b/>
      <u/>
      <sz val="10"/>
      <color indexed="8"/>
      <name val="Arial"/>
      <family val="2"/>
    </font>
    <font>
      <b/>
      <sz val="10"/>
      <color indexed="10"/>
      <name val="Arial"/>
      <family val="2"/>
    </font>
    <font>
      <sz val="11"/>
      <color indexed="10"/>
      <name val="Calibri"/>
      <family val="2"/>
    </font>
    <font>
      <sz val="11"/>
      <color indexed="10"/>
      <name val="Calibri"/>
      <family val="2"/>
    </font>
    <font>
      <sz val="10"/>
      <color indexed="10"/>
      <name val="Arial"/>
      <family val="2"/>
    </font>
    <font>
      <sz val="11"/>
      <name val="Calibri"/>
      <family val="2"/>
    </font>
    <font>
      <b/>
      <sz val="11"/>
      <name val="Calibri"/>
      <family val="2"/>
    </font>
    <font>
      <u/>
      <sz val="10"/>
      <color indexed="10"/>
      <name val="Arial"/>
      <family val="2"/>
    </font>
    <font>
      <b/>
      <i/>
      <u/>
      <sz val="12"/>
      <color indexed="8"/>
      <name val="Arial"/>
      <family val="2"/>
    </font>
    <font>
      <sz val="12"/>
      <color indexed="8"/>
      <name val="Arial"/>
      <family val="2"/>
    </font>
    <font>
      <b/>
      <sz val="12"/>
      <color indexed="8"/>
      <name val="ARIAL"/>
      <family val="2"/>
    </font>
    <font>
      <sz val="12"/>
      <color indexed="10"/>
      <name val="Arial"/>
      <family val="2"/>
    </font>
    <font>
      <sz val="12"/>
      <color indexed="8"/>
      <name val="Calibri"/>
      <family val="2"/>
    </font>
    <font>
      <sz val="10"/>
      <color indexed="8"/>
      <name val="Calibri"/>
      <family val="2"/>
    </font>
    <font>
      <b/>
      <sz val="10"/>
      <color indexed="10"/>
      <name val="Calibri"/>
      <family val="2"/>
    </font>
    <font>
      <sz val="10"/>
      <color indexed="10"/>
      <name val="Calibri"/>
      <family val="2"/>
    </font>
    <font>
      <i/>
      <u/>
      <sz val="12"/>
      <color indexed="8"/>
      <name val="Arial"/>
      <family val="2"/>
    </font>
    <font>
      <sz val="12"/>
      <color indexed="40"/>
      <name val="Arial"/>
      <family val="2"/>
    </font>
    <font>
      <sz val="12"/>
      <color indexed="10"/>
      <name val="Arial"/>
      <family val="2"/>
    </font>
    <font>
      <b/>
      <sz val="10"/>
      <color indexed="8"/>
      <name val="Arial"/>
      <family val="2"/>
    </font>
    <font>
      <sz val="10"/>
      <color indexed="8"/>
      <name val="Arial"/>
      <family val="2"/>
    </font>
    <font>
      <b/>
      <sz val="10"/>
      <color indexed="8"/>
      <name val="Arial"/>
      <family val="2"/>
    </font>
    <font>
      <b/>
      <sz val="12"/>
      <color indexed="8"/>
      <name val="ARIAL"/>
      <family val="2"/>
    </font>
    <font>
      <b/>
      <sz val="11"/>
      <color indexed="8"/>
      <name val="Calibri"/>
      <family val="2"/>
    </font>
    <font>
      <sz val="11"/>
      <color indexed="8"/>
      <name val="Calibri"/>
      <family val="2"/>
    </font>
    <font>
      <b/>
      <i/>
      <sz val="10"/>
      <color indexed="8"/>
      <name val="Arial"/>
      <family val="2"/>
    </font>
    <font>
      <sz val="11"/>
      <color indexed="8"/>
      <name val="Arial"/>
      <family val="2"/>
    </font>
    <font>
      <b/>
      <sz val="11"/>
      <color indexed="8"/>
      <name val="Arial"/>
      <family val="2"/>
    </font>
    <font>
      <b/>
      <sz val="7.5"/>
      <color indexed="8"/>
      <name val="Arial"/>
      <family val="2"/>
    </font>
    <font>
      <b/>
      <sz val="9"/>
      <color indexed="8"/>
      <name val="Arial"/>
      <family val="2"/>
    </font>
    <font>
      <sz val="7.5"/>
      <color indexed="8"/>
      <name val="Arial"/>
      <family val="2"/>
    </font>
    <font>
      <sz val="2"/>
      <color indexed="8"/>
      <name val="Arial"/>
      <family val="2"/>
    </font>
    <font>
      <b/>
      <sz val="2"/>
      <color indexed="8"/>
      <name val="Times New Roman"/>
      <family val="1"/>
    </font>
    <font>
      <i/>
      <sz val="10"/>
      <color indexed="8"/>
      <name val="Arial"/>
      <family val="2"/>
    </font>
    <font>
      <sz val="10"/>
      <color theme="1"/>
      <name val="Arial"/>
      <family val="2"/>
    </font>
    <font>
      <b/>
      <sz val="10"/>
      <color theme="1"/>
      <name val="Arial"/>
      <family val="2"/>
    </font>
    <font>
      <sz val="10"/>
      <color rgb="FFFF0000"/>
      <name val="Arial"/>
      <family val="2"/>
    </font>
    <font>
      <b/>
      <i/>
      <sz val="10"/>
      <color theme="1"/>
      <name val="Arial"/>
      <family val="2"/>
    </font>
    <font>
      <b/>
      <sz val="11"/>
      <color theme="1"/>
      <name val="Arial"/>
      <family val="2"/>
    </font>
    <font>
      <sz val="11"/>
      <color theme="1"/>
      <name val="Arial"/>
      <family val="2"/>
    </font>
    <font>
      <sz val="6"/>
      <color theme="1"/>
      <name val="Arial"/>
      <family val="2"/>
    </font>
    <font>
      <sz val="10"/>
      <color theme="1"/>
      <name val="Courier New"/>
      <family val="3"/>
    </font>
    <font>
      <sz val="12"/>
      <color theme="1"/>
      <name val="Arial"/>
      <family val="2"/>
    </font>
    <font>
      <b/>
      <u/>
      <sz val="10"/>
      <color theme="1"/>
      <name val="Arial"/>
      <family val="2"/>
    </font>
    <font>
      <sz val="14"/>
      <color rgb="FFFF0000"/>
      <name val="Arial"/>
      <family val="2"/>
    </font>
    <font>
      <b/>
      <sz val="10"/>
      <color rgb="FFFF0000"/>
      <name val="Arial"/>
      <family val="2"/>
    </font>
    <font>
      <sz val="12"/>
      <color rgb="FFFF0000"/>
      <name val="Arial"/>
      <family val="2"/>
    </font>
    <font>
      <b/>
      <sz val="12"/>
      <color rgb="FFFF0000"/>
      <name val="Arial"/>
      <family val="2"/>
    </font>
    <font>
      <b/>
      <sz val="12"/>
      <color theme="1"/>
      <name val="Arial"/>
      <family val="2"/>
    </font>
  </fonts>
  <fills count="10">
    <fill>
      <patternFill patternType="none"/>
    </fill>
    <fill>
      <patternFill patternType="gray125"/>
    </fill>
    <fill>
      <patternFill patternType="solid">
        <fgColor indexed="10"/>
        <bgColor indexed="64"/>
      </patternFill>
    </fill>
    <fill>
      <patternFill patternType="solid">
        <fgColor indexed="13"/>
        <bgColor indexed="64"/>
      </patternFill>
    </fill>
    <fill>
      <patternFill patternType="solid">
        <fgColor indexed="52"/>
        <bgColor indexed="64"/>
      </patternFill>
    </fill>
    <fill>
      <patternFill patternType="solid">
        <fgColor indexed="22"/>
        <bgColor indexed="64"/>
      </patternFill>
    </fill>
    <fill>
      <patternFill patternType="solid">
        <fgColor indexed="31"/>
        <bgColor indexed="64"/>
      </patternFill>
    </fill>
    <fill>
      <patternFill patternType="solid">
        <fgColor indexed="40"/>
        <bgColor indexed="64"/>
      </patternFill>
    </fill>
    <fill>
      <patternFill patternType="solid">
        <fgColor indexed="43"/>
        <bgColor indexed="64"/>
      </patternFill>
    </fill>
    <fill>
      <patternFill patternType="solid">
        <fgColor rgb="FFFFC000"/>
        <bgColor indexed="64"/>
      </patternFill>
    </fill>
  </fills>
  <borders count="52">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thin">
        <color indexed="8"/>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uble">
        <color indexed="8"/>
      </left>
      <right/>
      <top style="double">
        <color indexed="8"/>
      </top>
      <bottom/>
      <diagonal/>
    </border>
    <border>
      <left/>
      <right/>
      <top style="double">
        <color indexed="8"/>
      </top>
      <bottom/>
      <diagonal/>
    </border>
    <border>
      <left/>
      <right style="double">
        <color indexed="8"/>
      </right>
      <top style="double">
        <color indexed="8"/>
      </top>
      <bottom/>
      <diagonal/>
    </border>
    <border>
      <left style="double">
        <color indexed="8"/>
      </left>
      <right/>
      <top/>
      <bottom style="double">
        <color indexed="8"/>
      </bottom>
      <diagonal/>
    </border>
    <border>
      <left/>
      <right/>
      <top/>
      <bottom style="double">
        <color indexed="8"/>
      </bottom>
      <diagonal/>
    </border>
    <border>
      <left/>
      <right style="double">
        <color indexed="8"/>
      </right>
      <top/>
      <bottom style="double">
        <color indexed="8"/>
      </bottom>
      <diagonal/>
    </border>
    <border>
      <left style="dotted">
        <color indexed="64"/>
      </left>
      <right style="dotted">
        <color indexed="64"/>
      </right>
      <top style="dotted">
        <color indexed="64"/>
      </top>
      <bottom style="dotted">
        <color indexed="64"/>
      </bottom>
      <diagonal/>
    </border>
    <border>
      <left style="thin">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top style="double">
        <color indexed="64"/>
      </top>
      <bottom/>
      <diagonal/>
    </border>
    <border>
      <left/>
      <right/>
      <top/>
      <bottom style="double">
        <color indexed="64"/>
      </bottom>
      <diagonal/>
    </border>
    <border>
      <left style="double">
        <color indexed="8"/>
      </left>
      <right/>
      <top/>
      <bottom/>
      <diagonal/>
    </border>
    <border>
      <left/>
      <right style="double">
        <color indexed="8"/>
      </right>
      <top/>
      <bottom/>
      <diagonal/>
    </border>
    <border>
      <left/>
      <right style="thin">
        <color indexed="8"/>
      </right>
      <top style="thin">
        <color indexed="64"/>
      </top>
      <bottom/>
      <diagonal/>
    </border>
    <border>
      <left style="medium">
        <color indexed="64"/>
      </left>
      <right/>
      <top style="medium">
        <color indexed="64"/>
      </top>
      <bottom/>
      <diagonal/>
    </border>
    <border>
      <left/>
      <right/>
      <top style="medium">
        <color indexed="64"/>
      </top>
      <bottom/>
      <diagonal/>
    </border>
  </borders>
  <cellStyleXfs count="6">
    <xf numFmtId="0" fontId="0" fillId="0" borderId="0"/>
    <xf numFmtId="164" fontId="12" fillId="0" borderId="0" applyFont="0" applyFill="0" applyBorder="0" applyAlignment="0" applyProtection="0"/>
    <xf numFmtId="0" fontId="35" fillId="0" borderId="0"/>
    <xf numFmtId="0" fontId="35" fillId="0" borderId="0"/>
    <xf numFmtId="0" fontId="35" fillId="0" borderId="0"/>
    <xf numFmtId="9" fontId="12" fillId="0" borderId="0" applyFont="0" applyFill="0" applyBorder="0" applyAlignment="0" applyProtection="0"/>
  </cellStyleXfs>
  <cellXfs count="1475">
    <xf numFmtId="0" fontId="0" fillId="0" borderId="0" xfId="0"/>
    <xf numFmtId="0" fontId="15" fillId="0" borderId="0" xfId="0" applyFont="1" applyBorder="1" applyAlignment="1"/>
    <xf numFmtId="0" fontId="14" fillId="0" borderId="0" xfId="0" applyFont="1" applyFill="1" applyBorder="1" applyAlignment="1"/>
    <xf numFmtId="168" fontId="15" fillId="0" borderId="0" xfId="1" applyNumberFormat="1" applyFont="1" applyBorder="1" applyAlignment="1"/>
    <xf numFmtId="168" fontId="14" fillId="0" borderId="0" xfId="1" applyNumberFormat="1" applyFont="1" applyBorder="1" applyAlignment="1">
      <alignment horizontal="center"/>
    </xf>
    <xf numFmtId="168" fontId="14" fillId="0" borderId="1" xfId="1" applyNumberFormat="1" applyFont="1" applyFill="1" applyBorder="1" applyAlignment="1">
      <alignment horizontal="center" vertical="top" wrapText="1"/>
    </xf>
    <xf numFmtId="168" fontId="14" fillId="0" borderId="1" xfId="1" applyNumberFormat="1" applyFont="1" applyFill="1" applyBorder="1" applyAlignment="1"/>
    <xf numFmtId="168" fontId="14" fillId="0" borderId="2" xfId="1" applyNumberFormat="1" applyFont="1" applyFill="1" applyBorder="1" applyAlignment="1"/>
    <xf numFmtId="168" fontId="14" fillId="0" borderId="3" xfId="1" applyNumberFormat="1" applyFont="1" applyFill="1" applyBorder="1" applyAlignment="1"/>
    <xf numFmtId="0" fontId="14" fillId="0" borderId="0" xfId="0" applyFont="1"/>
    <xf numFmtId="168" fontId="14" fillId="0" borderId="0" xfId="1" applyNumberFormat="1" applyFont="1" applyAlignment="1">
      <alignment horizontal="center"/>
    </xf>
    <xf numFmtId="0" fontId="14" fillId="0" borderId="0" xfId="0" applyFont="1" applyAlignment="1">
      <alignment horizontal="center"/>
    </xf>
    <xf numFmtId="0" fontId="15" fillId="0" borderId="0" xfId="0" applyFont="1" applyAlignment="1"/>
    <xf numFmtId="168" fontId="15" fillId="0" borderId="0" xfId="1" applyNumberFormat="1" applyFont="1" applyAlignment="1"/>
    <xf numFmtId="0" fontId="14" fillId="0" borderId="0" xfId="0" applyFont="1" applyAlignment="1"/>
    <xf numFmtId="0" fontId="15" fillId="0" borderId="4" xfId="0" applyFont="1" applyBorder="1" applyAlignment="1"/>
    <xf numFmtId="168" fontId="15" fillId="0" borderId="5" xfId="1" applyNumberFormat="1" applyFont="1" applyBorder="1" applyAlignment="1"/>
    <xf numFmtId="0" fontId="15" fillId="0" borderId="6" xfId="0" applyFont="1" applyBorder="1" applyAlignment="1"/>
    <xf numFmtId="168" fontId="14" fillId="0" borderId="2" xfId="1" quotePrefix="1" applyNumberFormat="1" applyFont="1" applyBorder="1" applyAlignment="1">
      <alignment horizontal="center"/>
    </xf>
    <xf numFmtId="168" fontId="14" fillId="0" borderId="7" xfId="1" applyNumberFormat="1" applyFont="1" applyBorder="1" applyAlignment="1"/>
    <xf numFmtId="168" fontId="15" fillId="0" borderId="1" xfId="1" applyNumberFormat="1" applyFont="1" applyBorder="1" applyAlignment="1">
      <alignment vertical="top" wrapText="1"/>
    </xf>
    <xf numFmtId="0" fontId="14" fillId="0" borderId="8" xfId="0" applyFont="1" applyBorder="1" applyAlignment="1">
      <alignment horizontal="center"/>
    </xf>
    <xf numFmtId="0" fontId="15" fillId="0" borderId="0" xfId="0" applyFont="1"/>
    <xf numFmtId="0" fontId="14" fillId="0" borderId="0" xfId="0" applyFont="1" applyFill="1" applyBorder="1" applyAlignment="1">
      <alignment horizontal="center"/>
    </xf>
    <xf numFmtId="0" fontId="15" fillId="0" borderId="0" xfId="0" applyFont="1" applyFill="1"/>
    <xf numFmtId="168" fontId="15" fillId="0" borderId="0" xfId="1" applyNumberFormat="1" applyFont="1" applyFill="1"/>
    <xf numFmtId="0" fontId="14" fillId="0" borderId="0" xfId="0" applyFont="1" applyFill="1"/>
    <xf numFmtId="0" fontId="17" fillId="0" borderId="0" xfId="0" applyFont="1"/>
    <xf numFmtId="0" fontId="14" fillId="0" borderId="0" xfId="0" applyFont="1" applyBorder="1" applyAlignment="1">
      <alignment horizontal="center"/>
    </xf>
    <xf numFmtId="0" fontId="15" fillId="0" borderId="0" xfId="0" applyFont="1" applyAlignment="1">
      <alignment horizontal="left"/>
    </xf>
    <xf numFmtId="164" fontId="15" fillId="0" borderId="0" xfId="1" applyFont="1"/>
    <xf numFmtId="168" fontId="15" fillId="0" borderId="0" xfId="1" applyNumberFormat="1" applyFont="1"/>
    <xf numFmtId="0" fontId="15" fillId="0" borderId="0" xfId="0" applyFont="1" applyBorder="1" applyAlignment="1">
      <alignment horizontal="left" vertical="top" wrapText="1"/>
    </xf>
    <xf numFmtId="0" fontId="19" fillId="0" borderId="0" xfId="0" applyFont="1" applyAlignment="1">
      <alignment vertical="top" wrapText="1"/>
    </xf>
    <xf numFmtId="0" fontId="15" fillId="0" borderId="0" xfId="0" applyFont="1" applyAlignment="1">
      <alignment vertical="top" wrapText="1"/>
    </xf>
    <xf numFmtId="0" fontId="22" fillId="0" borderId="0" xfId="0" applyFont="1" applyAlignment="1">
      <alignment horizontal="center" vertical="top" wrapText="1"/>
    </xf>
    <xf numFmtId="0" fontId="22" fillId="0" borderId="0" xfId="0" applyFont="1" applyAlignment="1">
      <alignment horizontal="center" vertical="top"/>
    </xf>
    <xf numFmtId="0" fontId="19" fillId="0" borderId="0" xfId="0" applyFont="1" applyBorder="1" applyAlignment="1">
      <alignment vertical="top"/>
    </xf>
    <xf numFmtId="0" fontId="19" fillId="0" borderId="0" xfId="0" applyFont="1" applyAlignment="1">
      <alignment horizontal="right" vertical="top"/>
    </xf>
    <xf numFmtId="0" fontId="22" fillId="0" borderId="0" xfId="0" applyFont="1" applyBorder="1" applyAlignment="1">
      <alignment vertical="top"/>
    </xf>
    <xf numFmtId="0" fontId="22" fillId="0" borderId="0" xfId="0" applyFont="1" applyAlignment="1">
      <alignment horizontal="right" vertical="top"/>
    </xf>
    <xf numFmtId="0" fontId="22" fillId="0" borderId="0" xfId="0" applyFont="1" applyAlignment="1">
      <alignment vertical="top"/>
    </xf>
    <xf numFmtId="10" fontId="19" fillId="0" borderId="0" xfId="5" applyNumberFormat="1" applyFont="1" applyBorder="1" applyAlignment="1">
      <alignment vertical="top"/>
    </xf>
    <xf numFmtId="168" fontId="19" fillId="0" borderId="0" xfId="1" applyNumberFormat="1" applyFont="1" applyBorder="1" applyAlignment="1">
      <alignment horizontal="right" vertical="top"/>
    </xf>
    <xf numFmtId="0" fontId="22" fillId="0" borderId="0" xfId="0" applyFont="1" applyBorder="1" applyAlignment="1">
      <alignment horizontal="left" vertical="top"/>
    </xf>
    <xf numFmtId="168" fontId="22" fillId="0" borderId="0" xfId="1" applyNumberFormat="1" applyFont="1" applyBorder="1" applyAlignment="1">
      <alignment horizontal="center" vertical="top"/>
    </xf>
    <xf numFmtId="168" fontId="22" fillId="0" borderId="4" xfId="1" applyNumberFormat="1" applyFont="1" applyBorder="1" applyAlignment="1">
      <alignment horizontal="center" vertical="top"/>
    </xf>
    <xf numFmtId="0" fontId="19" fillId="0" borderId="9" xfId="0" applyFont="1" applyBorder="1" applyAlignment="1">
      <alignment vertical="top"/>
    </xf>
    <xf numFmtId="0" fontId="19" fillId="0" borderId="0" xfId="0" applyFont="1" applyBorder="1" applyAlignment="1">
      <alignment horizontal="left" vertical="top"/>
    </xf>
    <xf numFmtId="168" fontId="19" fillId="0" borderId="0" xfId="1" applyNumberFormat="1" applyFont="1" applyBorder="1" applyAlignment="1">
      <alignment vertical="top"/>
    </xf>
    <xf numFmtId="168" fontId="19" fillId="0" borderId="4" xfId="1" applyNumberFormat="1" applyFont="1" applyBorder="1" applyAlignment="1">
      <alignment horizontal="right" vertical="top"/>
    </xf>
    <xf numFmtId="0" fontId="22" fillId="0" borderId="9" xfId="0" applyFont="1" applyBorder="1" applyAlignment="1">
      <alignment horizontal="left" vertical="top"/>
    </xf>
    <xf numFmtId="0" fontId="19" fillId="0" borderId="0" xfId="0" applyFont="1" applyBorder="1" applyAlignment="1">
      <alignment horizontal="center" vertical="top"/>
    </xf>
    <xf numFmtId="0" fontId="19" fillId="0" borderId="0" xfId="0" applyFont="1" applyBorder="1" applyAlignment="1">
      <alignment horizontal="right" vertical="top"/>
    </xf>
    <xf numFmtId="0" fontId="19" fillId="0" borderId="5" xfId="0" applyFont="1" applyBorder="1" applyAlignment="1">
      <alignment horizontal="right" vertical="top" wrapText="1"/>
    </xf>
    <xf numFmtId="0" fontId="19" fillId="0" borderId="5" xfId="0" applyFont="1" applyBorder="1" applyAlignment="1">
      <alignment vertical="top" wrapText="1"/>
    </xf>
    <xf numFmtId="168" fontId="19" fillId="0" borderId="5" xfId="1" applyNumberFormat="1" applyFont="1" applyBorder="1" applyAlignment="1">
      <alignment vertical="top" wrapText="1"/>
    </xf>
    <xf numFmtId="168" fontId="19" fillId="0" borderId="6" xfId="1" applyNumberFormat="1" applyFont="1" applyBorder="1" applyAlignment="1">
      <alignment vertical="top" wrapText="1"/>
    </xf>
    <xf numFmtId="0" fontId="22" fillId="0" borderId="9" xfId="0" applyFont="1" applyBorder="1" applyAlignment="1">
      <alignment vertical="top"/>
    </xf>
    <xf numFmtId="168" fontId="22" fillId="0" borderId="10" xfId="1" applyNumberFormat="1" applyFont="1" applyBorder="1" applyAlignment="1">
      <alignment horizontal="right" vertical="top"/>
    </xf>
    <xf numFmtId="168" fontId="22" fillId="0" borderId="11" xfId="1" applyNumberFormat="1" applyFont="1" applyBorder="1" applyAlignment="1">
      <alignment horizontal="right" vertical="top"/>
    </xf>
    <xf numFmtId="14" fontId="19" fillId="0" borderId="0" xfId="0" applyNumberFormat="1" applyFont="1" applyBorder="1" applyAlignment="1">
      <alignment horizontal="center" vertical="top"/>
    </xf>
    <xf numFmtId="0" fontId="15" fillId="0" borderId="0" xfId="0" applyFont="1" applyBorder="1"/>
    <xf numFmtId="0" fontId="15" fillId="0" borderId="0" xfId="0" applyFont="1" applyBorder="1" applyAlignment="1">
      <alignment horizontal="left"/>
    </xf>
    <xf numFmtId="0" fontId="15" fillId="0" borderId="1" xfId="0" applyFont="1" applyBorder="1" applyAlignment="1">
      <alignment vertical="top" wrapText="1"/>
    </xf>
    <xf numFmtId="165" fontId="17" fillId="0" borderId="0" xfId="1" applyNumberFormat="1" applyFont="1" applyAlignment="1"/>
    <xf numFmtId="168" fontId="17" fillId="0" borderId="0" xfId="1" applyNumberFormat="1" applyFont="1" applyAlignment="1"/>
    <xf numFmtId="0" fontId="17" fillId="0" borderId="0" xfId="0" applyFont="1" applyAlignment="1"/>
    <xf numFmtId="165" fontId="17" fillId="0" borderId="0" xfId="1" applyNumberFormat="1" applyFont="1" applyAlignment="1">
      <alignment horizontal="right" vertical="top"/>
    </xf>
    <xf numFmtId="0" fontId="17" fillId="0" borderId="0" xfId="0" applyFont="1" applyAlignment="1">
      <alignment horizontal="justify" vertical="top"/>
    </xf>
    <xf numFmtId="0" fontId="17" fillId="0" borderId="0" xfId="0" applyFont="1" applyBorder="1" applyAlignment="1">
      <alignment horizontal="left" vertical="top"/>
    </xf>
    <xf numFmtId="0" fontId="17" fillId="0" borderId="0" xfId="0" applyFont="1" applyBorder="1" applyAlignment="1">
      <alignment horizontal="right" vertical="top"/>
    </xf>
    <xf numFmtId="0" fontId="17" fillId="0" borderId="0" xfId="0" applyFont="1" applyBorder="1" applyAlignment="1"/>
    <xf numFmtId="0" fontId="17" fillId="0" borderId="0" xfId="0" applyFont="1" applyBorder="1" applyAlignment="1">
      <alignment horizontal="justify" vertical="top"/>
    </xf>
    <xf numFmtId="0" fontId="17" fillId="0" borderId="12" xfId="0" applyFont="1" applyBorder="1" applyAlignment="1">
      <alignment horizontal="justify" vertical="top"/>
    </xf>
    <xf numFmtId="0" fontId="17" fillId="0" borderId="13" xfId="0" applyFont="1" applyBorder="1" applyAlignment="1">
      <alignment horizontal="right" vertical="top"/>
    </xf>
    <xf numFmtId="168" fontId="17" fillId="0" borderId="14" xfId="1" applyNumberFormat="1" applyFont="1" applyBorder="1" applyAlignment="1"/>
    <xf numFmtId="0" fontId="17" fillId="0" borderId="9" xfId="0" applyFont="1" applyBorder="1" applyAlignment="1">
      <alignment horizontal="justify" vertical="top"/>
    </xf>
    <xf numFmtId="168" fontId="17" fillId="0" borderId="4" xfId="1" applyNumberFormat="1" applyFont="1" applyBorder="1" applyAlignment="1"/>
    <xf numFmtId="0" fontId="17" fillId="0" borderId="8" xfId="0" applyFont="1" applyBorder="1" applyAlignment="1">
      <alignment horizontal="justify" vertical="top"/>
    </xf>
    <xf numFmtId="0" fontId="17" fillId="0" borderId="5" xfId="0" applyFont="1" applyBorder="1" applyAlignment="1">
      <alignment horizontal="right" vertical="top"/>
    </xf>
    <xf numFmtId="168" fontId="17" fillId="0" borderId="6" xfId="1" applyNumberFormat="1" applyFont="1" applyBorder="1" applyAlignment="1"/>
    <xf numFmtId="0" fontId="17" fillId="0" borderId="0" xfId="0" applyFont="1" applyAlignment="1">
      <alignment horizontal="right" vertical="top"/>
    </xf>
    <xf numFmtId="168" fontId="17" fillId="0" borderId="5" xfId="1" applyNumberFormat="1" applyFont="1" applyBorder="1" applyAlignment="1"/>
    <xf numFmtId="0" fontId="26" fillId="0" borderId="0" xfId="0" applyFont="1" applyAlignment="1"/>
    <xf numFmtId="0" fontId="26" fillId="0" borderId="0" xfId="0" applyFont="1" applyAlignment="1">
      <alignment horizontal="justify" vertical="top"/>
    </xf>
    <xf numFmtId="0" fontId="26" fillId="0" borderId="0" xfId="0" applyFont="1" applyAlignment="1">
      <alignment horizontal="right" vertical="top"/>
    </xf>
    <xf numFmtId="168" fontId="26" fillId="0" borderId="0" xfId="1" applyNumberFormat="1" applyFont="1" applyAlignment="1"/>
    <xf numFmtId="165" fontId="26" fillId="0" borderId="0" xfId="0" applyNumberFormat="1" applyFont="1" applyAlignment="1"/>
    <xf numFmtId="0" fontId="26" fillId="0" borderId="0" xfId="0" applyFont="1" applyAlignment="1">
      <alignment vertical="top"/>
    </xf>
    <xf numFmtId="165" fontId="17" fillId="0" borderId="0" xfId="0" applyNumberFormat="1" applyFont="1" applyAlignment="1"/>
    <xf numFmtId="0" fontId="26" fillId="0" borderId="7" xfId="0" applyFont="1" applyBorder="1" applyAlignment="1">
      <alignment horizontal="right" vertical="top"/>
    </xf>
    <xf numFmtId="168" fontId="26" fillId="0" borderId="7" xfId="1" applyNumberFormat="1" applyFont="1" applyBorder="1" applyAlignment="1">
      <alignment horizontal="right" vertical="top"/>
    </xf>
    <xf numFmtId="0" fontId="17" fillId="0" borderId="0" xfId="0" applyFont="1" applyAlignment="1">
      <alignment horizontal="right"/>
    </xf>
    <xf numFmtId="166" fontId="17" fillId="0" borderId="0" xfId="0" applyNumberFormat="1" applyFont="1" applyAlignment="1"/>
    <xf numFmtId="166" fontId="17" fillId="0" borderId="0" xfId="1" applyNumberFormat="1" applyFont="1" applyAlignment="1"/>
    <xf numFmtId="0" fontId="17" fillId="0" borderId="0" xfId="0" applyFont="1" applyAlignment="1">
      <alignment vertical="top"/>
    </xf>
    <xf numFmtId="167" fontId="17" fillId="0" borderId="0" xfId="1" applyNumberFormat="1" applyFont="1" applyAlignment="1"/>
    <xf numFmtId="0" fontId="17" fillId="0" borderId="12" xfId="0" applyFont="1" applyBorder="1" applyAlignment="1">
      <alignment vertical="top"/>
    </xf>
    <xf numFmtId="0" fontId="17" fillId="0" borderId="13" xfId="0" applyFont="1" applyBorder="1" applyAlignment="1">
      <alignment vertical="top"/>
    </xf>
    <xf numFmtId="167" fontId="17" fillId="0" borderId="14" xfId="1" applyNumberFormat="1" applyFont="1" applyBorder="1" applyAlignment="1"/>
    <xf numFmtId="0" fontId="17" fillId="0" borderId="9" xfId="0" applyFont="1" applyBorder="1" applyAlignment="1">
      <alignment vertical="top"/>
    </xf>
    <xf numFmtId="0" fontId="17" fillId="0" borderId="0" xfId="0" applyFont="1" applyBorder="1" applyAlignment="1">
      <alignment vertical="top"/>
    </xf>
    <xf numFmtId="167" fontId="17" fillId="0" borderId="4" xfId="1" applyNumberFormat="1" applyFont="1" applyBorder="1" applyAlignment="1"/>
    <xf numFmtId="0" fontId="17" fillId="0" borderId="8" xfId="0" applyFont="1" applyBorder="1" applyAlignment="1">
      <alignment vertical="top"/>
    </xf>
    <xf numFmtId="0" fontId="17" fillId="0" borderId="5" xfId="0" applyFont="1" applyBorder="1" applyAlignment="1">
      <alignment vertical="top"/>
    </xf>
    <xf numFmtId="167" fontId="17" fillId="0" borderId="6" xfId="1" applyNumberFormat="1" applyFont="1" applyBorder="1" applyAlignment="1"/>
    <xf numFmtId="0" fontId="17" fillId="0" borderId="0" xfId="0" applyFont="1" applyAlignment="1">
      <alignment horizontal="center"/>
    </xf>
    <xf numFmtId="0" fontId="17" fillId="0" borderId="0" xfId="0" applyFont="1" applyAlignment="1">
      <alignment wrapText="1"/>
    </xf>
    <xf numFmtId="0" fontId="17" fillId="0" borderId="0" xfId="0" applyFont="1" applyAlignment="1">
      <alignment horizontal="justify"/>
    </xf>
    <xf numFmtId="0" fontId="17" fillId="0" borderId="2" xfId="0" applyFont="1" applyBorder="1" applyAlignment="1">
      <alignment vertical="top" wrapText="1"/>
    </xf>
    <xf numFmtId="168" fontId="17" fillId="0" borderId="2" xfId="1" applyNumberFormat="1" applyFont="1" applyBorder="1" applyAlignment="1">
      <alignment vertical="top" wrapText="1"/>
    </xf>
    <xf numFmtId="10" fontId="17" fillId="0" borderId="2" xfId="5" applyNumberFormat="1" applyFont="1" applyBorder="1" applyAlignment="1">
      <alignment vertical="top" wrapText="1"/>
    </xf>
    <xf numFmtId="168" fontId="17" fillId="0" borderId="3" xfId="1" applyNumberFormat="1" applyFont="1" applyBorder="1" applyAlignment="1">
      <alignment vertical="top" wrapText="1"/>
    </xf>
    <xf numFmtId="10" fontId="17" fillId="0" borderId="3" xfId="5" applyNumberFormat="1" applyFont="1" applyBorder="1" applyAlignment="1">
      <alignment vertical="top" wrapText="1"/>
    </xf>
    <xf numFmtId="0" fontId="17" fillId="0" borderId="15" xfId="0" applyFont="1" applyBorder="1" applyAlignment="1">
      <alignment horizontal="center" vertical="top" wrapText="1"/>
    </xf>
    <xf numFmtId="0" fontId="17" fillId="0" borderId="16" xfId="0" applyFont="1" applyBorder="1" applyAlignment="1">
      <alignment vertical="top" wrapText="1"/>
    </xf>
    <xf numFmtId="0" fontId="17" fillId="0" borderId="0" xfId="0" applyFont="1" applyBorder="1"/>
    <xf numFmtId="168" fontId="17" fillId="0" borderId="0" xfId="1" applyNumberFormat="1" applyFont="1" applyBorder="1"/>
    <xf numFmtId="168" fontId="26" fillId="0" borderId="7" xfId="1" applyNumberFormat="1" applyFont="1" applyBorder="1"/>
    <xf numFmtId="0" fontId="26" fillId="0" borderId="0" xfId="0" applyFont="1" applyBorder="1"/>
    <xf numFmtId="0" fontId="17" fillId="0" borderId="0" xfId="0" applyFont="1" applyBorder="1" applyAlignment="1">
      <alignment horizontal="right"/>
    </xf>
    <xf numFmtId="0" fontId="17" fillId="0" borderId="0" xfId="0" applyFont="1" applyBorder="1" applyAlignment="1">
      <alignment horizontal="center"/>
    </xf>
    <xf numFmtId="0" fontId="17" fillId="0" borderId="5" xfId="0" applyFont="1" applyBorder="1" applyAlignment="1">
      <alignment horizontal="center"/>
    </xf>
    <xf numFmtId="168" fontId="17" fillId="0" borderId="0" xfId="1" applyNumberFormat="1" applyFont="1" applyBorder="1" applyAlignment="1"/>
    <xf numFmtId="168" fontId="26" fillId="0" borderId="0" xfId="1" quotePrefix="1" applyNumberFormat="1" applyFont="1" applyBorder="1" applyAlignment="1">
      <alignment horizontal="center"/>
    </xf>
    <xf numFmtId="168" fontId="26" fillId="0" borderId="0" xfId="1" applyNumberFormat="1" applyFont="1" applyBorder="1" applyAlignment="1">
      <alignment horizontal="center"/>
    </xf>
    <xf numFmtId="0" fontId="17" fillId="0" borderId="0" xfId="0" applyFont="1" applyBorder="1" applyAlignment="1">
      <alignment vertical="top" wrapText="1"/>
    </xf>
    <xf numFmtId="0" fontId="26" fillId="0" borderId="0" xfId="0" applyFont="1" applyBorder="1" applyAlignment="1">
      <alignment vertical="top" wrapText="1"/>
    </xf>
    <xf numFmtId="0" fontId="17" fillId="0" borderId="14" xfId="0" applyFont="1" applyBorder="1" applyAlignment="1"/>
    <xf numFmtId="0" fontId="17" fillId="0" borderId="4" xfId="0" applyFont="1" applyBorder="1" applyAlignment="1"/>
    <xf numFmtId="0" fontId="17" fillId="0" borderId="0" xfId="0" applyFont="1" applyFill="1" applyBorder="1" applyAlignment="1">
      <alignment horizontal="center"/>
    </xf>
    <xf numFmtId="169" fontId="17" fillId="0" borderId="0" xfId="1" applyNumberFormat="1" applyFont="1" applyFill="1" applyBorder="1" applyAlignment="1">
      <alignment horizontal="center"/>
    </xf>
    <xf numFmtId="0" fontId="15" fillId="0" borderId="0" xfId="0" applyFont="1" applyFill="1" applyBorder="1" applyAlignment="1"/>
    <xf numFmtId="0" fontId="15" fillId="0" borderId="0" xfId="0" applyFont="1" applyFill="1" applyBorder="1" applyAlignment="1">
      <alignment vertical="center"/>
    </xf>
    <xf numFmtId="168" fontId="15" fillId="0" borderId="1" xfId="1" applyNumberFormat="1" applyFont="1" applyFill="1" applyBorder="1" applyAlignment="1"/>
    <xf numFmtId="168" fontId="15" fillId="0" borderId="0" xfId="1" applyNumberFormat="1" applyFont="1" applyFill="1" applyBorder="1" applyAlignment="1"/>
    <xf numFmtId="0" fontId="14" fillId="0" borderId="6" xfId="0" applyFont="1" applyFill="1" applyBorder="1" applyAlignment="1">
      <alignment horizontal="center" vertical="center"/>
    </xf>
    <xf numFmtId="0" fontId="15" fillId="0" borderId="0" xfId="0" applyFont="1" applyFill="1" applyAlignment="1">
      <alignment horizontal="center"/>
    </xf>
    <xf numFmtId="0" fontId="14" fillId="0" borderId="9" xfId="0" applyFont="1" applyBorder="1" applyAlignment="1">
      <alignment horizontal="center"/>
    </xf>
    <xf numFmtId="0" fontId="14" fillId="0" borderId="4" xfId="0" applyFont="1" applyBorder="1" applyAlignment="1">
      <alignment horizontal="center"/>
    </xf>
    <xf numFmtId="0" fontId="15" fillId="0" borderId="5" xfId="0" applyFont="1" applyBorder="1" applyAlignment="1"/>
    <xf numFmtId="0" fontId="26" fillId="0" borderId="0" xfId="0" applyFont="1" applyBorder="1" applyAlignment="1">
      <alignment horizontal="center"/>
    </xf>
    <xf numFmtId="0" fontId="15" fillId="0" borderId="4" xfId="0" applyFont="1" applyBorder="1" applyAlignment="1">
      <alignment vertical="center"/>
    </xf>
    <xf numFmtId="0" fontId="15" fillId="0" borderId="4" xfId="0" applyFont="1" applyBorder="1"/>
    <xf numFmtId="0" fontId="14" fillId="0" borderId="9" xfId="0" quotePrefix="1" applyFont="1" applyBorder="1" applyAlignment="1">
      <alignment horizontal="center" vertical="top"/>
    </xf>
    <xf numFmtId="0" fontId="26" fillId="0" borderId="12" xfId="0" applyFont="1" applyBorder="1" applyAlignment="1">
      <alignment horizontal="center"/>
    </xf>
    <xf numFmtId="0" fontId="17" fillId="0" borderId="13" xfId="0" applyFont="1" applyBorder="1" applyAlignment="1"/>
    <xf numFmtId="168" fontId="17" fillId="0" borderId="13" xfId="1" applyNumberFormat="1" applyFont="1" applyBorder="1" applyAlignment="1"/>
    <xf numFmtId="0" fontId="26" fillId="0" borderId="9" xfId="0" applyFont="1" applyBorder="1" applyAlignment="1">
      <alignment horizontal="center"/>
    </xf>
    <xf numFmtId="0" fontId="26" fillId="0" borderId="0" xfId="0" applyFont="1" applyAlignment="1">
      <alignment horizontal="center"/>
    </xf>
    <xf numFmtId="168" fontId="26" fillId="0" borderId="0" xfId="1" applyNumberFormat="1" applyFont="1" applyAlignment="1">
      <alignment horizontal="center"/>
    </xf>
    <xf numFmtId="0" fontId="26" fillId="0" borderId="9" xfId="0" quotePrefix="1" applyFont="1" applyBorder="1" applyAlignment="1">
      <alignment horizontal="center" vertical="top"/>
    </xf>
    <xf numFmtId="168" fontId="26" fillId="0" borderId="7" xfId="1" applyNumberFormat="1" applyFont="1" applyBorder="1" applyAlignment="1"/>
    <xf numFmtId="0" fontId="26" fillId="0" borderId="8" xfId="0" applyFont="1" applyBorder="1" applyAlignment="1">
      <alignment horizontal="center"/>
    </xf>
    <xf numFmtId="0" fontId="17" fillId="0" borderId="5" xfId="0" applyFont="1" applyBorder="1" applyAlignment="1"/>
    <xf numFmtId="0" fontId="17" fillId="0" borderId="6" xfId="0" applyFont="1" applyBorder="1" applyAlignment="1"/>
    <xf numFmtId="0" fontId="15" fillId="0" borderId="9" xfId="0" applyFont="1" applyBorder="1"/>
    <xf numFmtId="168" fontId="15" fillId="0" borderId="0" xfId="1" applyNumberFormat="1" applyFont="1" applyBorder="1"/>
    <xf numFmtId="168" fontId="15" fillId="0" borderId="1" xfId="1" applyNumberFormat="1" applyFont="1" applyBorder="1" applyAlignment="1">
      <alignment horizontal="right" vertical="top" wrapText="1"/>
    </xf>
    <xf numFmtId="168" fontId="15" fillId="0" borderId="15" xfId="1" applyNumberFormat="1" applyFont="1" applyBorder="1" applyAlignment="1">
      <alignment horizontal="right" vertical="top" wrapText="1"/>
    </xf>
    <xf numFmtId="164" fontId="15" fillId="0" borderId="1" xfId="1" applyFont="1" applyBorder="1" applyAlignment="1">
      <alignment horizontal="right" vertical="top" wrapText="1"/>
    </xf>
    <xf numFmtId="0" fontId="14" fillId="0" borderId="1" xfId="0" applyFont="1" applyBorder="1" applyAlignment="1">
      <alignment vertical="top" wrapText="1"/>
    </xf>
    <xf numFmtId="0" fontId="30" fillId="0" borderId="1" xfId="0" applyFont="1" applyBorder="1" applyAlignment="1">
      <alignment vertical="top" wrapText="1"/>
    </xf>
    <xf numFmtId="0" fontId="15" fillId="0" borderId="15" xfId="0" applyFont="1" applyBorder="1" applyAlignment="1">
      <alignment vertical="top" wrapText="1"/>
    </xf>
    <xf numFmtId="168" fontId="14" fillId="0" borderId="1" xfId="1" applyNumberFormat="1" applyFont="1" applyBorder="1" applyAlignment="1">
      <alignment horizontal="right" vertical="top" wrapText="1"/>
    </xf>
    <xf numFmtId="164" fontId="15" fillId="0" borderId="15" xfId="1" applyFont="1" applyBorder="1" applyAlignment="1">
      <alignment horizontal="right" vertical="top" wrapText="1"/>
    </xf>
    <xf numFmtId="0" fontId="15" fillId="0" borderId="15" xfId="0" applyFont="1" applyBorder="1" applyAlignment="1">
      <alignment horizontal="justify" vertical="top" wrapText="1"/>
    </xf>
    <xf numFmtId="164" fontId="14" fillId="0" borderId="1" xfId="1" applyNumberFormat="1" applyFont="1" applyBorder="1" applyAlignment="1">
      <alignment horizontal="right" vertical="top" wrapText="1"/>
    </xf>
    <xf numFmtId="0" fontId="15" fillId="0" borderId="1" xfId="0" applyFont="1" applyBorder="1" applyAlignment="1">
      <alignment horizontal="justify" vertical="top" wrapText="1"/>
    </xf>
    <xf numFmtId="164" fontId="15" fillId="0" borderId="1" xfId="1" applyNumberFormat="1" applyFont="1" applyBorder="1" applyAlignment="1">
      <alignment horizontal="right" vertical="top" wrapText="1"/>
    </xf>
    <xf numFmtId="0" fontId="31" fillId="0" borderId="1" xfId="0" applyFont="1" applyBorder="1" applyAlignment="1">
      <alignment vertical="top" wrapText="1"/>
    </xf>
    <xf numFmtId="0" fontId="15" fillId="0" borderId="15" xfId="0" applyFont="1" applyBorder="1" applyAlignment="1">
      <alignment horizontal="right" vertical="top" wrapText="1"/>
    </xf>
    <xf numFmtId="0" fontId="31" fillId="0" borderId="1" xfId="0" applyFont="1" applyBorder="1" applyAlignment="1">
      <alignment horizontal="justify" vertical="top" wrapText="1"/>
    </xf>
    <xf numFmtId="168" fontId="15" fillId="0" borderId="17" xfId="1" applyNumberFormat="1" applyFont="1" applyBorder="1" applyAlignment="1">
      <alignment horizontal="right" vertical="top" wrapText="1"/>
    </xf>
    <xf numFmtId="0" fontId="15" fillId="2" borderId="0" xfId="0" applyFont="1" applyFill="1"/>
    <xf numFmtId="168" fontId="15" fillId="2" borderId="0" xfId="1" applyNumberFormat="1" applyFont="1" applyFill="1"/>
    <xf numFmtId="168" fontId="14" fillId="0" borderId="7" xfId="1" applyNumberFormat="1" applyFont="1" applyBorder="1"/>
    <xf numFmtId="0" fontId="15" fillId="0" borderId="18" xfId="0" applyFont="1" applyBorder="1"/>
    <xf numFmtId="168" fontId="15" fillId="0" borderId="19" xfId="1" applyNumberFormat="1" applyFont="1" applyBorder="1"/>
    <xf numFmtId="168" fontId="15" fillId="0" borderId="19" xfId="1" applyNumberFormat="1" applyFont="1" applyFill="1" applyBorder="1"/>
    <xf numFmtId="168" fontId="14" fillId="0" borderId="20" xfId="1" applyNumberFormat="1" applyFont="1" applyBorder="1"/>
    <xf numFmtId="168" fontId="14" fillId="3" borderId="19" xfId="1" applyNumberFormat="1" applyFont="1" applyFill="1" applyBorder="1"/>
    <xf numFmtId="0" fontId="15" fillId="0" borderId="21" xfId="0" applyFont="1" applyBorder="1"/>
    <xf numFmtId="168" fontId="15" fillId="0" borderId="22" xfId="1" applyNumberFormat="1" applyFont="1" applyBorder="1"/>
    <xf numFmtId="0" fontId="14" fillId="0" borderId="18" xfId="0" applyFont="1" applyBorder="1" applyAlignment="1">
      <alignment horizontal="center"/>
    </xf>
    <xf numFmtId="0" fontId="14" fillId="0" borderId="19" xfId="0" applyFont="1" applyBorder="1" applyAlignment="1">
      <alignment horizontal="center"/>
    </xf>
    <xf numFmtId="0" fontId="14" fillId="0" borderId="23" xfId="0" quotePrefix="1" applyFont="1" applyBorder="1" applyAlignment="1">
      <alignment horizontal="center"/>
    </xf>
    <xf numFmtId="168" fontId="14" fillId="0" borderId="24" xfId="1" applyNumberFormat="1" applyFont="1" applyBorder="1"/>
    <xf numFmtId="168" fontId="14" fillId="0" borderId="25" xfId="1" applyNumberFormat="1" applyFont="1" applyBorder="1"/>
    <xf numFmtId="168" fontId="14" fillId="0" borderId="19" xfId="1" applyNumberFormat="1" applyFont="1" applyBorder="1" applyAlignment="1">
      <alignment horizontal="center"/>
    </xf>
    <xf numFmtId="10" fontId="15" fillId="0" borderId="0" xfId="5" applyNumberFormat="1" applyFont="1" applyBorder="1"/>
    <xf numFmtId="10" fontId="15" fillId="0" borderId="19" xfId="5" applyNumberFormat="1" applyFont="1" applyBorder="1"/>
    <xf numFmtId="9" fontId="15" fillId="0" borderId="18" xfId="0" applyNumberFormat="1" applyFont="1" applyBorder="1"/>
    <xf numFmtId="0" fontId="15" fillId="0" borderId="18" xfId="0" applyNumberFormat="1" applyFont="1" applyBorder="1"/>
    <xf numFmtId="0" fontId="15" fillId="0" borderId="12" xfId="0" applyFont="1" applyBorder="1"/>
    <xf numFmtId="0" fontId="14" fillId="0" borderId="9" xfId="0" applyFont="1" applyBorder="1"/>
    <xf numFmtId="0" fontId="6" fillId="0" borderId="0" xfId="0" applyFont="1" applyBorder="1" applyAlignment="1">
      <alignment vertical="top" wrapText="1"/>
    </xf>
    <xf numFmtId="0" fontId="7" fillId="0" borderId="0" xfId="0" applyFont="1"/>
    <xf numFmtId="0" fontId="6" fillId="0" borderId="0" xfId="0" applyFont="1"/>
    <xf numFmtId="0" fontId="15" fillId="0" borderId="0" xfId="0" applyFont="1" applyBorder="1" applyAlignment="1">
      <alignment horizontal="justify" vertical="justify" wrapText="1"/>
    </xf>
    <xf numFmtId="0" fontId="17" fillId="0" borderId="0" xfId="0" applyFont="1" applyBorder="1" applyAlignment="1">
      <alignment horizontal="justify" vertical="justify" wrapText="1"/>
    </xf>
    <xf numFmtId="0" fontId="7" fillId="0" borderId="0" xfId="0" applyFont="1" applyBorder="1" applyAlignment="1">
      <alignment vertical="center" wrapText="1"/>
    </xf>
    <xf numFmtId="0" fontId="6" fillId="0" borderId="0" xfId="0" applyFont="1" applyBorder="1"/>
    <xf numFmtId="0" fontId="6" fillId="0" borderId="4" xfId="0" applyFont="1" applyBorder="1" applyAlignment="1">
      <alignment vertical="center"/>
    </xf>
    <xf numFmtId="0" fontId="6" fillId="0" borderId="0" xfId="0" applyFont="1" applyAlignment="1">
      <alignment vertical="center"/>
    </xf>
    <xf numFmtId="0" fontId="7" fillId="0" borderId="9" xfId="0" applyFont="1" applyBorder="1" applyAlignment="1">
      <alignment horizontal="center" vertical="center"/>
    </xf>
    <xf numFmtId="0" fontId="6" fillId="0" borderId="4" xfId="0" applyFont="1" applyBorder="1"/>
    <xf numFmtId="0" fontId="7" fillId="0" borderId="4" xfId="0" applyFont="1" applyBorder="1"/>
    <xf numFmtId="0" fontId="6" fillId="0" borderId="6" xfId="0" applyFont="1" applyBorder="1"/>
    <xf numFmtId="168" fontId="7" fillId="0" borderId="0" xfId="1" applyNumberFormat="1" applyFont="1" applyFill="1" applyBorder="1" applyAlignment="1">
      <alignment horizontal="center"/>
    </xf>
    <xf numFmtId="168" fontId="7" fillId="0" borderId="0" xfId="1" applyNumberFormat="1" applyFont="1" applyBorder="1" applyAlignment="1">
      <alignment horizontal="center"/>
    </xf>
    <xf numFmtId="0" fontId="15" fillId="0" borderId="4" xfId="0" applyFont="1" applyBorder="1" applyAlignment="1">
      <alignment horizontal="justify" vertical="justify" wrapText="1"/>
    </xf>
    <xf numFmtId="0" fontId="7" fillId="0" borderId="0" xfId="0" applyFont="1" applyBorder="1"/>
    <xf numFmtId="0" fontId="6" fillId="0" borderId="0" xfId="0" applyFont="1" applyFill="1" applyBorder="1" applyAlignment="1"/>
    <xf numFmtId="0" fontId="14" fillId="0" borderId="9" xfId="0" applyFont="1" applyBorder="1" applyAlignment="1">
      <alignment horizontal="justify" vertical="justify" wrapText="1"/>
    </xf>
    <xf numFmtId="0" fontId="15" fillId="0" borderId="0" xfId="0" applyFont="1" applyAlignment="1">
      <alignment horizontal="justify" vertical="justify" wrapText="1"/>
    </xf>
    <xf numFmtId="168" fontId="15" fillId="0" borderId="0" xfId="1" applyNumberFormat="1" applyFont="1" applyAlignment="1">
      <alignment horizontal="justify" vertical="justify" wrapText="1"/>
    </xf>
    <xf numFmtId="168" fontId="14" fillId="0" borderId="0" xfId="1" applyNumberFormat="1" applyFont="1" applyFill="1" applyBorder="1" applyAlignment="1"/>
    <xf numFmtId="0" fontId="0" fillId="0" borderId="0" xfId="0" applyBorder="1" applyAlignment="1">
      <alignment horizontal="justify" vertical="justify" wrapText="1"/>
    </xf>
    <xf numFmtId="0" fontId="26" fillId="0" borderId="9" xfId="0" applyFont="1" applyBorder="1" applyAlignment="1">
      <alignment horizontal="justify" vertical="justify"/>
    </xf>
    <xf numFmtId="0" fontId="0" fillId="0" borderId="0" xfId="0" applyFont="1" applyBorder="1" applyAlignment="1">
      <alignment horizontal="justify" vertical="justify" wrapText="1"/>
    </xf>
    <xf numFmtId="0" fontId="17" fillId="0" borderId="0" xfId="0" applyFont="1" applyAlignment="1">
      <alignment horizontal="justify" vertical="justify"/>
    </xf>
    <xf numFmtId="168" fontId="17" fillId="0" borderId="0" xfId="1" applyNumberFormat="1" applyFont="1" applyAlignment="1">
      <alignment horizontal="justify" vertical="justify"/>
    </xf>
    <xf numFmtId="0" fontId="15" fillId="0" borderId="0" xfId="0" applyFont="1" applyAlignment="1">
      <alignment horizontal="justify" vertical="top" wrapText="1"/>
    </xf>
    <xf numFmtId="0" fontId="15" fillId="0" borderId="0" xfId="0" applyFont="1" applyAlignment="1">
      <alignment horizontal="justify" vertical="top"/>
    </xf>
    <xf numFmtId="0" fontId="7" fillId="0" borderId="0" xfId="0" applyFont="1" applyAlignment="1">
      <alignment horizontal="justify" vertical="top"/>
    </xf>
    <xf numFmtId="0" fontId="6" fillId="0" borderId="0" xfId="0" applyFont="1" applyAlignment="1">
      <alignment horizontal="justify" vertical="top"/>
    </xf>
    <xf numFmtId="0" fontId="16" fillId="0" borderId="0" xfId="0" applyFont="1"/>
    <xf numFmtId="0" fontId="6" fillId="0" borderId="0" xfId="0" applyFont="1" applyAlignment="1">
      <alignment horizontal="justify"/>
    </xf>
    <xf numFmtId="164" fontId="6" fillId="0" borderId="0" xfId="1" applyFont="1" applyAlignment="1"/>
    <xf numFmtId="168" fontId="16" fillId="0" borderId="12" xfId="1" quotePrefix="1" applyNumberFormat="1" applyFont="1" applyBorder="1" applyAlignment="1">
      <alignment horizontal="center"/>
    </xf>
    <xf numFmtId="0" fontId="16" fillId="0" borderId="14" xfId="0" applyFont="1" applyBorder="1"/>
    <xf numFmtId="0" fontId="7" fillId="0" borderId="0" xfId="0" applyFont="1" applyBorder="1" applyAlignment="1">
      <alignment horizontal="justify" vertical="justify" wrapText="1"/>
    </xf>
    <xf numFmtId="0" fontId="15" fillId="0" borderId="0" xfId="0" applyFont="1" applyBorder="1" applyAlignment="1">
      <alignment horizontal="justify" vertical="top" wrapText="1"/>
    </xf>
    <xf numFmtId="0" fontId="15" fillId="0" borderId="4" xfId="0" applyFont="1" applyBorder="1" applyAlignment="1">
      <alignment horizontal="justify" vertical="top"/>
    </xf>
    <xf numFmtId="0" fontId="15" fillId="0" borderId="0" xfId="0" applyFont="1" applyBorder="1" applyAlignment="1">
      <alignment horizontal="justify"/>
    </xf>
    <xf numFmtId="0" fontId="7" fillId="0" borderId="0" xfId="0" applyFont="1" applyBorder="1" applyAlignment="1">
      <alignment horizontal="justify" vertical="top" wrapText="1"/>
    </xf>
    <xf numFmtId="0" fontId="7" fillId="0" borderId="4" xfId="0" applyFont="1" applyBorder="1" applyAlignment="1">
      <alignment horizontal="justify" vertical="top"/>
    </xf>
    <xf numFmtId="0" fontId="15" fillId="0" borderId="6" xfId="0" applyFont="1" applyBorder="1" applyAlignment="1">
      <alignment horizontal="justify" vertical="top"/>
    </xf>
    <xf numFmtId="0" fontId="15" fillId="0" borderId="0" xfId="0" applyFont="1" applyBorder="1" applyAlignment="1">
      <alignment horizontal="left" vertical="top" wrapText="1" indent="3"/>
    </xf>
    <xf numFmtId="0" fontId="6" fillId="0" borderId="0" xfId="0" applyFont="1" applyFill="1" applyBorder="1"/>
    <xf numFmtId="0" fontId="7" fillId="0" borderId="0" xfId="0" applyFont="1" applyFill="1" applyBorder="1"/>
    <xf numFmtId="0" fontId="17" fillId="0" borderId="0" xfId="0" applyFont="1" applyBorder="1" applyAlignment="1">
      <alignment horizontal="justify" vertical="justify"/>
    </xf>
    <xf numFmtId="0" fontId="20" fillId="4" borderId="0" xfId="0" applyFont="1" applyFill="1"/>
    <xf numFmtId="168" fontId="20" fillId="0" borderId="0" xfId="1" applyNumberFormat="1" applyFont="1"/>
    <xf numFmtId="0" fontId="20" fillId="0" borderId="0" xfId="0" applyFont="1"/>
    <xf numFmtId="171" fontId="20" fillId="0" borderId="0" xfId="5" applyNumberFormat="1" applyFont="1"/>
    <xf numFmtId="168" fontId="20" fillId="0" borderId="2" xfId="1" applyNumberFormat="1" applyFont="1" applyBorder="1"/>
    <xf numFmtId="0" fontId="20" fillId="0" borderId="0" xfId="0" applyFont="1" applyFill="1"/>
    <xf numFmtId="170" fontId="20" fillId="0" borderId="0" xfId="0" applyNumberFormat="1" applyFont="1" applyFill="1"/>
    <xf numFmtId="167" fontId="20" fillId="0" borderId="0" xfId="1" applyNumberFormat="1" applyFont="1" applyFill="1" applyAlignment="1"/>
    <xf numFmtId="172" fontId="20" fillId="0" borderId="0" xfId="1" applyNumberFormat="1" applyFont="1" applyFill="1" applyAlignment="1"/>
    <xf numFmtId="171" fontId="20" fillId="0" borderId="0" xfId="0" applyNumberFormat="1" applyFont="1" applyFill="1"/>
    <xf numFmtId="171" fontId="20" fillId="0" borderId="0" xfId="5" applyNumberFormat="1" applyFont="1" applyFill="1"/>
    <xf numFmtId="10" fontId="20" fillId="0" borderId="0" xfId="0" applyNumberFormat="1" applyFont="1" applyFill="1"/>
    <xf numFmtId="0" fontId="17" fillId="0" borderId="0" xfId="0" applyFont="1" applyBorder="1" applyAlignment="1">
      <alignment horizontal="left" vertical="top" wrapText="1"/>
    </xf>
    <xf numFmtId="0" fontId="17" fillId="0" borderId="0" xfId="0" applyFont="1" applyBorder="1" applyAlignment="1">
      <alignment horizontal="center" vertical="top" wrapText="1"/>
    </xf>
    <xf numFmtId="0" fontId="17" fillId="0" borderId="26" xfId="0" applyFont="1" applyBorder="1" applyAlignment="1">
      <alignment horizontal="left" vertical="top" wrapText="1"/>
    </xf>
    <xf numFmtId="0" fontId="17" fillId="0" borderId="27" xfId="0" applyFont="1" applyBorder="1" applyAlignment="1">
      <alignment horizontal="left" vertical="top" wrapText="1"/>
    </xf>
    <xf numFmtId="0" fontId="17" fillId="0" borderId="28" xfId="0" applyFont="1" applyBorder="1" applyAlignment="1">
      <alignment horizontal="left" vertical="top" wrapText="1"/>
    </xf>
    <xf numFmtId="0" fontId="17" fillId="0" borderId="26" xfId="0" applyFont="1" applyBorder="1" applyAlignment="1">
      <alignment horizontal="left" vertical="top" wrapText="1" indent="2"/>
    </xf>
    <xf numFmtId="0" fontId="17" fillId="0" borderId="27" xfId="0" applyFont="1" applyBorder="1" applyAlignment="1">
      <alignment horizontal="center" vertical="top" wrapText="1"/>
    </xf>
    <xf numFmtId="0" fontId="6" fillId="0" borderId="0" xfId="0" applyFont="1" applyBorder="1" applyAlignment="1">
      <alignment horizontal="justify" vertical="top" wrapText="1"/>
    </xf>
    <xf numFmtId="0" fontId="14" fillId="0" borderId="16" xfId="0" applyFont="1" applyFill="1" applyBorder="1" applyAlignment="1">
      <alignment horizontal="center" vertical="top"/>
    </xf>
    <xf numFmtId="0" fontId="14" fillId="0" borderId="1" xfId="0" applyFont="1" applyFill="1" applyBorder="1" applyAlignment="1">
      <alignment horizontal="left" vertical="top"/>
    </xf>
    <xf numFmtId="0" fontId="14" fillId="0" borderId="1" xfId="0" applyFont="1" applyFill="1" applyBorder="1" applyAlignment="1">
      <alignment vertical="top"/>
    </xf>
    <xf numFmtId="0" fontId="15" fillId="0" borderId="1" xfId="0" applyFont="1" applyFill="1" applyBorder="1" applyAlignment="1">
      <alignment vertical="top"/>
    </xf>
    <xf numFmtId="0" fontId="37" fillId="0" borderId="9" xfId="0" applyFont="1" applyBorder="1" applyAlignment="1">
      <alignment vertical="top" wrapText="1"/>
    </xf>
    <xf numFmtId="168" fontId="37" fillId="0" borderId="15" xfId="1" applyNumberFormat="1" applyFont="1" applyBorder="1" applyAlignment="1">
      <alignment horizontal="right" vertical="top" wrapText="1"/>
    </xf>
    <xf numFmtId="0" fontId="37" fillId="0" borderId="0" xfId="0" applyFont="1" applyBorder="1" applyAlignment="1">
      <alignment vertical="top" wrapText="1"/>
    </xf>
    <xf numFmtId="168" fontId="37" fillId="0" borderId="0" xfId="1" applyNumberFormat="1" applyFont="1" applyBorder="1"/>
    <xf numFmtId="0" fontId="37" fillId="0" borderId="4" xfId="0" applyFont="1" applyBorder="1" applyAlignment="1">
      <alignment vertical="top" wrapText="1"/>
    </xf>
    <xf numFmtId="0" fontId="37" fillId="0" borderId="0" xfId="0" applyFont="1"/>
    <xf numFmtId="43" fontId="15" fillId="0" borderId="0" xfId="0" applyNumberFormat="1" applyFont="1" applyAlignment="1"/>
    <xf numFmtId="164" fontId="15" fillId="0" borderId="0" xfId="1" applyFont="1" applyAlignment="1"/>
    <xf numFmtId="168" fontId="36" fillId="0" borderId="13" xfId="1" quotePrefix="1" applyNumberFormat="1" applyFont="1" applyBorder="1" applyAlignment="1">
      <alignment horizontal="center" vertical="top" wrapText="1"/>
    </xf>
    <xf numFmtId="0" fontId="36" fillId="0" borderId="9" xfId="0" applyFont="1" applyBorder="1" applyAlignment="1">
      <alignment vertical="top" wrapText="1"/>
    </xf>
    <xf numFmtId="168" fontId="36" fillId="0" borderId="0" xfId="1" applyNumberFormat="1" applyFont="1" applyBorder="1" applyAlignment="1">
      <alignment horizontal="center" vertical="top" wrapText="1"/>
    </xf>
    <xf numFmtId="168" fontId="36" fillId="0" borderId="0" xfId="1" applyNumberFormat="1" applyFont="1" applyBorder="1" applyAlignment="1">
      <alignment horizontal="right" vertical="top" wrapText="1"/>
    </xf>
    <xf numFmtId="168" fontId="36" fillId="0" borderId="0" xfId="1" applyNumberFormat="1" applyFont="1" applyBorder="1" applyAlignment="1">
      <alignment vertical="top" wrapText="1"/>
    </xf>
    <xf numFmtId="0" fontId="36" fillId="0" borderId="0" xfId="0" applyFont="1" applyBorder="1" applyAlignment="1">
      <alignment vertical="top" wrapText="1"/>
    </xf>
    <xf numFmtId="0" fontId="36" fillId="0" borderId="4" xfId="0" applyFont="1" applyBorder="1" applyAlignment="1">
      <alignment vertical="top" wrapText="1"/>
    </xf>
    <xf numFmtId="168" fontId="37" fillId="0" borderId="2" xfId="1" applyNumberFormat="1" applyFont="1" applyBorder="1" applyAlignment="1">
      <alignment horizontal="right" vertical="top" wrapText="1"/>
    </xf>
    <xf numFmtId="168" fontId="37" fillId="0" borderId="0" xfId="1" applyNumberFormat="1" applyFont="1" applyBorder="1" applyAlignment="1">
      <alignment vertical="top" wrapText="1"/>
    </xf>
    <xf numFmtId="168" fontId="37" fillId="0" borderId="0" xfId="1" applyNumberFormat="1" applyFont="1" applyBorder="1" applyAlignment="1">
      <alignment horizontal="right" vertical="top" wrapText="1"/>
    </xf>
    <xf numFmtId="168" fontId="37" fillId="0" borderId="16" xfId="1" applyNumberFormat="1" applyFont="1" applyBorder="1" applyAlignment="1">
      <alignment horizontal="right" vertical="top" wrapText="1"/>
    </xf>
    <xf numFmtId="168" fontId="37" fillId="0" borderId="1" xfId="1" applyNumberFormat="1" applyFont="1" applyBorder="1" applyAlignment="1">
      <alignment horizontal="right" vertical="top" wrapText="1"/>
    </xf>
    <xf numFmtId="0" fontId="37" fillId="0" borderId="8" xfId="0" applyFont="1" applyBorder="1" applyAlignment="1">
      <alignment vertical="top" wrapText="1"/>
    </xf>
    <xf numFmtId="168" fontId="37" fillId="0" borderId="5" xfId="1" applyNumberFormat="1" applyFont="1" applyBorder="1" applyAlignment="1">
      <alignment vertical="top" wrapText="1"/>
    </xf>
    <xf numFmtId="0" fontId="37" fillId="0" borderId="5" xfId="0" applyFont="1" applyBorder="1" applyAlignment="1">
      <alignment vertical="top" wrapText="1"/>
    </xf>
    <xf numFmtId="0" fontId="37" fillId="0" borderId="6" xfId="0" applyFont="1" applyBorder="1" applyAlignment="1">
      <alignment vertical="top" wrapText="1"/>
    </xf>
    <xf numFmtId="0" fontId="37" fillId="0" borderId="0" xfId="0" applyFont="1" applyBorder="1"/>
    <xf numFmtId="0" fontId="36" fillId="0" borderId="5" xfId="0" applyFont="1" applyBorder="1" applyAlignment="1">
      <alignment horizontal="center"/>
    </xf>
    <xf numFmtId="168" fontId="36" fillId="0" borderId="0" xfId="1" quotePrefix="1" applyNumberFormat="1" applyFont="1" applyBorder="1" applyAlignment="1">
      <alignment horizontal="center" vertical="top" wrapText="1"/>
    </xf>
    <xf numFmtId="168" fontId="36" fillId="0" borderId="10" xfId="1" applyNumberFormat="1" applyFont="1" applyBorder="1" applyAlignment="1">
      <alignment horizontal="right" vertical="top" wrapText="1"/>
    </xf>
    <xf numFmtId="0" fontId="36" fillId="0" borderId="10" xfId="0" applyFont="1" applyBorder="1" applyAlignment="1">
      <alignment vertical="top" wrapText="1"/>
    </xf>
    <xf numFmtId="168" fontId="37" fillId="0" borderId="10" xfId="1" applyNumberFormat="1" applyFont="1" applyBorder="1"/>
    <xf numFmtId="168" fontId="36" fillId="0" borderId="7" xfId="1" applyNumberFormat="1" applyFont="1" applyBorder="1" applyAlignment="1">
      <alignment horizontal="right" vertical="top" wrapText="1"/>
    </xf>
    <xf numFmtId="0" fontId="36" fillId="0" borderId="7" xfId="0" applyFont="1" applyBorder="1" applyAlignment="1">
      <alignment vertical="top" wrapText="1"/>
    </xf>
    <xf numFmtId="168" fontId="37" fillId="0" borderId="7" xfId="1" applyNumberFormat="1" applyFont="1" applyBorder="1"/>
    <xf numFmtId="0" fontId="37" fillId="0" borderId="7" xfId="0" applyFont="1" applyBorder="1" applyAlignment="1">
      <alignment vertical="top" wrapText="1"/>
    </xf>
    <xf numFmtId="168" fontId="37" fillId="0" borderId="5" xfId="1" applyNumberFormat="1" applyFont="1" applyBorder="1"/>
    <xf numFmtId="168" fontId="37" fillId="0" borderId="0" xfId="1" applyNumberFormat="1" applyFont="1"/>
    <xf numFmtId="164" fontId="40" fillId="0" borderId="0" xfId="1" applyFont="1"/>
    <xf numFmtId="168" fontId="15" fillId="0" borderId="0" xfId="0" applyNumberFormat="1" applyFont="1"/>
    <xf numFmtId="43" fontId="15" fillId="0" borderId="0" xfId="0" applyNumberFormat="1" applyFont="1"/>
    <xf numFmtId="43" fontId="7" fillId="0" borderId="0" xfId="0" applyNumberFormat="1" applyFont="1"/>
    <xf numFmtId="164" fontId="42" fillId="0" borderId="0" xfId="1" applyFont="1" applyFill="1"/>
    <xf numFmtId="4" fontId="0" fillId="0" borderId="0" xfId="0" applyNumberFormat="1" applyFill="1"/>
    <xf numFmtId="4" fontId="41" fillId="0" borderId="0" xfId="0" applyNumberFormat="1" applyFont="1" applyFill="1"/>
    <xf numFmtId="168" fontId="15" fillId="0" borderId="4" xfId="1" applyNumberFormat="1" applyFont="1" applyBorder="1"/>
    <xf numFmtId="0" fontId="7" fillId="0" borderId="0" xfId="0" applyFont="1" applyFill="1" applyBorder="1" applyAlignment="1">
      <alignment horizontal="center"/>
    </xf>
    <xf numFmtId="164" fontId="6" fillId="0" borderId="0" xfId="1" applyFont="1" applyAlignment="1">
      <alignment vertical="center"/>
    </xf>
    <xf numFmtId="0" fontId="6" fillId="0" borderId="13" xfId="0" applyFont="1" applyBorder="1"/>
    <xf numFmtId="0" fontId="6" fillId="0" borderId="13" xfId="0" applyFont="1" applyFill="1" applyBorder="1" applyAlignment="1">
      <alignment horizontal="center"/>
    </xf>
    <xf numFmtId="168" fontId="6" fillId="0" borderId="13" xfId="1" applyNumberFormat="1" applyFont="1" applyBorder="1"/>
    <xf numFmtId="0" fontId="6" fillId="0" borderId="14" xfId="0" applyFont="1" applyBorder="1"/>
    <xf numFmtId="15" fontId="6" fillId="0" borderId="0" xfId="0" applyNumberFormat="1" applyFont="1" applyBorder="1" applyAlignment="1">
      <alignment horizontal="center"/>
    </xf>
    <xf numFmtId="15" fontId="6" fillId="0" borderId="0" xfId="0" applyNumberFormat="1" applyFont="1" applyFill="1" applyBorder="1" applyAlignment="1">
      <alignment horizontal="center"/>
    </xf>
    <xf numFmtId="0" fontId="6" fillId="0" borderId="0" xfId="0" applyFont="1" applyFill="1" applyBorder="1" applyAlignment="1">
      <alignment horizontal="center"/>
    </xf>
    <xf numFmtId="168" fontId="6" fillId="0" borderId="0" xfId="1" applyNumberFormat="1" applyFont="1" applyBorder="1" applyAlignment="1">
      <alignment horizontal="center"/>
    </xf>
    <xf numFmtId="0" fontId="7" fillId="0" borderId="0" xfId="0" applyFont="1" applyBorder="1" applyAlignment="1">
      <alignment horizontal="left" indent="1"/>
    </xf>
    <xf numFmtId="168" fontId="7" fillId="0" borderId="7" xfId="1" applyNumberFormat="1" applyFont="1" applyFill="1" applyBorder="1" applyAlignment="1">
      <alignment horizontal="center"/>
    </xf>
    <xf numFmtId="168" fontId="6" fillId="0" borderId="0" xfId="1" applyNumberFormat="1" applyFont="1" applyFill="1" applyBorder="1" applyAlignment="1">
      <alignment horizontal="center"/>
    </xf>
    <xf numFmtId="0" fontId="6" fillId="0" borderId="5" xfId="0" applyFont="1" applyFill="1" applyBorder="1" applyAlignment="1">
      <alignment horizontal="center"/>
    </xf>
    <xf numFmtId="168" fontId="6" fillId="0" borderId="5" xfId="1" applyNumberFormat="1" applyFont="1" applyBorder="1"/>
    <xf numFmtId="4" fontId="43" fillId="0" borderId="0" xfId="0" applyNumberFormat="1" applyFont="1" applyFill="1"/>
    <xf numFmtId="0" fontId="13" fillId="0" borderId="0" xfId="0" applyFont="1" applyBorder="1" applyAlignment="1">
      <alignment vertical="center"/>
    </xf>
    <xf numFmtId="0" fontId="16" fillId="0" borderId="0" xfId="0" applyFont="1" applyBorder="1" applyAlignment="1">
      <alignment vertical="center"/>
    </xf>
    <xf numFmtId="0" fontId="13" fillId="0" borderId="0" xfId="0" applyFont="1" applyBorder="1" applyAlignment="1">
      <alignment vertical="center" wrapText="1"/>
    </xf>
    <xf numFmtId="0" fontId="6" fillId="0" borderId="1" xfId="0" applyFont="1" applyFill="1" applyBorder="1" applyAlignment="1">
      <alignment vertical="top"/>
    </xf>
    <xf numFmtId="0" fontId="16" fillId="0" borderId="0" xfId="0" applyFont="1" applyBorder="1" applyAlignment="1">
      <alignment vertical="center" wrapText="1"/>
    </xf>
    <xf numFmtId="0" fontId="6" fillId="0" borderId="0" xfId="0" applyFont="1" applyBorder="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xf>
    <xf numFmtId="0" fontId="6" fillId="0" borderId="16" xfId="0" applyFont="1" applyBorder="1" applyAlignment="1">
      <alignment vertical="center" wrapText="1"/>
    </xf>
    <xf numFmtId="164" fontId="6" fillId="0" borderId="16" xfId="1" applyFont="1" applyBorder="1" applyAlignment="1">
      <alignment vertical="center" wrapText="1"/>
    </xf>
    <xf numFmtId="0" fontId="6" fillId="0" borderId="1" xfId="0" applyFont="1" applyBorder="1" applyAlignment="1">
      <alignment horizontal="left" vertical="center" wrapText="1"/>
    </xf>
    <xf numFmtId="0" fontId="6" fillId="0" borderId="1" xfId="0" applyFont="1" applyBorder="1" applyAlignment="1">
      <alignment vertical="center" wrapText="1"/>
    </xf>
    <xf numFmtId="164" fontId="6" fillId="0" borderId="1" xfId="1" applyFont="1" applyBorder="1" applyAlignment="1">
      <alignment vertical="center" wrapText="1"/>
    </xf>
    <xf numFmtId="0" fontId="7" fillId="0" borderId="1" xfId="0" applyFont="1" applyBorder="1" applyAlignment="1">
      <alignment vertical="center" wrapText="1"/>
    </xf>
    <xf numFmtId="164" fontId="7" fillId="0" borderId="1" xfId="1" applyFont="1" applyBorder="1" applyAlignment="1">
      <alignment vertical="center" wrapText="1"/>
    </xf>
    <xf numFmtId="17" fontId="6" fillId="0" borderId="1" xfId="0" applyNumberFormat="1" applyFont="1" applyBorder="1" applyAlignment="1">
      <alignment horizontal="left" vertical="center" wrapText="1"/>
    </xf>
    <xf numFmtId="164" fontId="7" fillId="0" borderId="1" xfId="1" applyFont="1" applyBorder="1" applyAlignment="1">
      <alignment horizontal="right" vertical="center" wrapText="1"/>
    </xf>
    <xf numFmtId="164" fontId="6" fillId="0" borderId="1" xfId="1" applyFont="1" applyBorder="1" applyAlignment="1">
      <alignment horizontal="right" vertical="center" wrapText="1"/>
    </xf>
    <xf numFmtId="0" fontId="35" fillId="0" borderId="1" xfId="0" applyFont="1" applyBorder="1" applyAlignment="1">
      <alignment horizontal="left" vertical="center" wrapText="1"/>
    </xf>
    <xf numFmtId="0" fontId="35" fillId="0" borderId="1" xfId="0" applyFont="1" applyBorder="1" applyAlignment="1">
      <alignment vertical="center" wrapText="1"/>
    </xf>
    <xf numFmtId="164" fontId="35" fillId="0" borderId="1" xfId="1" applyFont="1" applyBorder="1" applyAlignment="1">
      <alignment horizontal="right" vertical="center" wrapText="1"/>
    </xf>
    <xf numFmtId="0" fontId="6" fillId="0" borderId="9" xfId="0" applyFont="1" applyBorder="1" applyAlignment="1">
      <alignment horizontal="left" vertical="center" wrapText="1"/>
    </xf>
    <xf numFmtId="0" fontId="6" fillId="0" borderId="9" xfId="0" applyFont="1" applyBorder="1" applyAlignment="1">
      <alignment vertical="center" wrapText="1"/>
    </xf>
    <xf numFmtId="164" fontId="6" fillId="0" borderId="9" xfId="1" applyFont="1" applyBorder="1" applyAlignment="1">
      <alignment horizontal="right" vertical="center" wrapText="1"/>
    </xf>
    <xf numFmtId="0" fontId="6" fillId="0" borderId="15" xfId="0" applyFont="1" applyBorder="1" applyAlignment="1">
      <alignment horizontal="left" vertical="center" wrapText="1"/>
    </xf>
    <xf numFmtId="0" fontId="6" fillId="0" borderId="15" xfId="0" applyFont="1" applyBorder="1" applyAlignment="1">
      <alignment vertical="center" wrapText="1"/>
    </xf>
    <xf numFmtId="164" fontId="6" fillId="0" borderId="15" xfId="1" applyFont="1" applyBorder="1" applyAlignment="1">
      <alignment horizontal="right" vertical="center" wrapText="1"/>
    </xf>
    <xf numFmtId="0" fontId="0" fillId="0" borderId="0" xfId="0" applyAlignment="1">
      <alignment vertical="center"/>
    </xf>
    <xf numFmtId="164" fontId="6" fillId="0" borderId="0" xfId="1" applyFont="1" applyBorder="1" applyAlignment="1">
      <alignment vertical="center"/>
    </xf>
    <xf numFmtId="168" fontId="6" fillId="0" borderId="0" xfId="1" applyNumberFormat="1" applyFont="1" applyAlignment="1">
      <alignment vertical="center"/>
    </xf>
    <xf numFmtId="164" fontId="15" fillId="0" borderId="0" xfId="1" applyFont="1" applyFill="1" applyBorder="1" applyAlignment="1"/>
    <xf numFmtId="168" fontId="14" fillId="0" borderId="5" xfId="1" applyNumberFormat="1" applyFont="1" applyFill="1" applyBorder="1" applyAlignment="1">
      <alignment horizontal="center"/>
    </xf>
    <xf numFmtId="0" fontId="7" fillId="0" borderId="0" xfId="0" applyFont="1" applyFill="1" applyBorder="1" applyAlignment="1">
      <alignment horizontal="left" indent="1"/>
    </xf>
    <xf numFmtId="168" fontId="6" fillId="0" borderId="0" xfId="0" applyNumberFormat="1" applyFont="1" applyBorder="1" applyAlignment="1">
      <alignment horizontal="center"/>
    </xf>
    <xf numFmtId="168" fontId="7" fillId="0" borderId="0" xfId="0" quotePrefix="1" applyNumberFormat="1" applyFont="1" applyBorder="1" applyAlignment="1">
      <alignment horizontal="center"/>
    </xf>
    <xf numFmtId="168" fontId="7" fillId="0" borderId="0" xfId="1" applyNumberFormat="1" applyFont="1" applyFill="1"/>
    <xf numFmtId="168" fontId="7" fillId="0" borderId="0" xfId="1" applyNumberFormat="1" applyFont="1"/>
    <xf numFmtId="168" fontId="35" fillId="0" borderId="2" xfId="1" applyNumberFormat="1" applyFont="1" applyBorder="1" applyAlignment="1">
      <alignment horizontal="right" vertical="top" wrapText="1"/>
    </xf>
    <xf numFmtId="0" fontId="6" fillId="0" borderId="0" xfId="0" applyFont="1" applyBorder="1" applyAlignment="1">
      <alignment horizontal="center" vertical="center" wrapText="1"/>
    </xf>
    <xf numFmtId="0" fontId="6" fillId="0" borderId="12" xfId="0" applyFont="1" applyBorder="1" applyAlignment="1">
      <alignment vertical="center" wrapText="1"/>
    </xf>
    <xf numFmtId="0" fontId="7" fillId="0" borderId="9" xfId="0" applyFont="1" applyBorder="1" applyAlignment="1">
      <alignment vertical="center" wrapText="1"/>
    </xf>
    <xf numFmtId="0" fontId="7" fillId="0" borderId="9" xfId="0" applyFont="1" applyBorder="1" applyAlignment="1">
      <alignment horizontal="justify" vertical="center" wrapText="1"/>
    </xf>
    <xf numFmtId="0" fontId="35" fillId="0" borderId="9" xfId="0" applyFont="1" applyBorder="1" applyAlignment="1">
      <alignment vertical="center" wrapText="1"/>
    </xf>
    <xf numFmtId="0" fontId="6" fillId="0" borderId="8" xfId="0" applyFont="1" applyBorder="1" applyAlignment="1">
      <alignment vertical="center" wrapText="1"/>
    </xf>
    <xf numFmtId="0" fontId="6" fillId="0" borderId="16"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0" xfId="0" applyFont="1" applyBorder="1" applyAlignment="1">
      <alignment horizontal="center" vertical="center"/>
    </xf>
    <xf numFmtId="0" fontId="0" fillId="0" borderId="0" xfId="0" applyAlignment="1">
      <alignment horizontal="center" vertical="center"/>
    </xf>
    <xf numFmtId="0" fontId="14" fillId="0" borderId="8" xfId="0" applyFont="1" applyBorder="1"/>
    <xf numFmtId="0" fontId="37" fillId="0" borderId="13" xfId="0" applyFont="1" applyBorder="1"/>
    <xf numFmtId="168" fontId="37" fillId="0" borderId="13" xfId="1" applyNumberFormat="1" applyFont="1" applyBorder="1"/>
    <xf numFmtId="0" fontId="37" fillId="0" borderId="5" xfId="0" applyFont="1" applyBorder="1"/>
    <xf numFmtId="0" fontId="37" fillId="0" borderId="12" xfId="0" applyFont="1" applyBorder="1"/>
    <xf numFmtId="0" fontId="36" fillId="0" borderId="13" xfId="0" applyFont="1" applyBorder="1" applyAlignment="1">
      <alignment horizontal="center"/>
    </xf>
    <xf numFmtId="0" fontId="37" fillId="0" borderId="14" xfId="0" applyFont="1" applyBorder="1"/>
    <xf numFmtId="168" fontId="14" fillId="5" borderId="2" xfId="1" quotePrefix="1" applyNumberFormat="1" applyFont="1" applyFill="1" applyBorder="1" applyAlignment="1">
      <alignment horizontal="center"/>
    </xf>
    <xf numFmtId="168" fontId="7" fillId="5" borderId="2" xfId="1" applyNumberFormat="1" applyFont="1" applyFill="1" applyBorder="1" applyAlignment="1">
      <alignment horizontal="center" vertical="center" wrapText="1"/>
    </xf>
    <xf numFmtId="168" fontId="14" fillId="5" borderId="2" xfId="1" applyNumberFormat="1" applyFont="1" applyFill="1" applyBorder="1" applyAlignment="1">
      <alignment horizontal="center" vertical="center" wrapText="1"/>
    </xf>
    <xf numFmtId="164" fontId="7" fillId="5" borderId="2" xfId="1" applyFont="1" applyFill="1" applyBorder="1" applyAlignment="1">
      <alignment horizontal="center" vertical="center" wrapText="1"/>
    </xf>
    <xf numFmtId="168" fontId="7" fillId="5" borderId="2" xfId="1" quotePrefix="1" applyNumberFormat="1" applyFont="1" applyFill="1" applyBorder="1" applyAlignment="1">
      <alignment horizontal="center"/>
    </xf>
    <xf numFmtId="0" fontId="22" fillId="5" borderId="2" xfId="0" applyFont="1" applyFill="1" applyBorder="1" applyAlignment="1">
      <alignment horizontal="center" vertical="top" wrapText="1"/>
    </xf>
    <xf numFmtId="0" fontId="22" fillId="5" borderId="2" xfId="0" applyFont="1" applyFill="1" applyBorder="1" applyAlignment="1">
      <alignment horizontal="left" vertical="top" wrapText="1"/>
    </xf>
    <xf numFmtId="168" fontId="22" fillId="5" borderId="2" xfId="1" applyNumberFormat="1" applyFont="1" applyFill="1" applyBorder="1" applyAlignment="1">
      <alignment horizontal="center" vertical="top" wrapText="1"/>
    </xf>
    <xf numFmtId="0" fontId="14" fillId="5" borderId="16" xfId="0" applyFont="1" applyFill="1" applyBorder="1" applyAlignment="1">
      <alignment horizontal="center" vertical="top" wrapText="1"/>
    </xf>
    <xf numFmtId="0" fontId="14" fillId="5" borderId="15" xfId="0" applyFont="1" applyFill="1" applyBorder="1" applyAlignment="1">
      <alignment horizontal="center" vertical="top" wrapText="1"/>
    </xf>
    <xf numFmtId="0" fontId="14" fillId="5" borderId="1" xfId="0" applyFont="1" applyFill="1" applyBorder="1" applyAlignment="1">
      <alignment horizontal="center" wrapText="1"/>
    </xf>
    <xf numFmtId="0" fontId="15" fillId="5" borderId="15" xfId="0" applyFont="1" applyFill="1" applyBorder="1" applyAlignment="1">
      <alignment vertical="top" wrapText="1"/>
    </xf>
    <xf numFmtId="0" fontId="7" fillId="5" borderId="2" xfId="0" applyFont="1" applyFill="1" applyBorder="1" applyAlignment="1">
      <alignment horizontal="left" vertical="center" wrapText="1"/>
    </xf>
    <xf numFmtId="0" fontId="7" fillId="5" borderId="2" xfId="0" applyFont="1" applyFill="1" applyBorder="1" applyAlignment="1">
      <alignment vertical="center" wrapText="1"/>
    </xf>
    <xf numFmtId="0" fontId="7" fillId="5" borderId="2" xfId="0" applyFont="1" applyFill="1" applyBorder="1" applyAlignment="1">
      <alignment horizontal="center" vertical="center" wrapText="1"/>
    </xf>
    <xf numFmtId="17" fontId="7" fillId="5" borderId="16" xfId="0" applyNumberFormat="1" applyFont="1" applyFill="1" applyBorder="1" applyAlignment="1">
      <alignment horizontal="left" vertical="center" wrapText="1"/>
    </xf>
    <xf numFmtId="17" fontId="7" fillId="5" borderId="1" xfId="0" applyNumberFormat="1" applyFont="1" applyFill="1" applyBorder="1" applyAlignment="1">
      <alignment horizontal="left" vertical="center" wrapText="1"/>
    </xf>
    <xf numFmtId="164" fontId="7" fillId="0" borderId="2" xfId="1" applyFont="1" applyBorder="1" applyAlignment="1">
      <alignment vertical="center"/>
    </xf>
    <xf numFmtId="0" fontId="6" fillId="0" borderId="0" xfId="0" applyFont="1" applyBorder="1" applyAlignment="1">
      <alignment horizontal="justify" vertical="center" wrapText="1"/>
    </xf>
    <xf numFmtId="0" fontId="6" fillId="0" borderId="5" xfId="0" applyFont="1" applyBorder="1" applyAlignment="1">
      <alignment horizontal="justify" vertical="top" wrapText="1"/>
    </xf>
    <xf numFmtId="0" fontId="6" fillId="0" borderId="29" xfId="0" applyFont="1" applyBorder="1" applyAlignment="1">
      <alignment horizontal="left" vertical="center" wrapText="1"/>
    </xf>
    <xf numFmtId="0" fontId="6" fillId="0" borderId="0" xfId="0" applyFont="1" applyBorder="1" applyAlignment="1">
      <alignment horizontal="left" vertical="center" wrapText="1"/>
    </xf>
    <xf numFmtId="0" fontId="6" fillId="0" borderId="4" xfId="0" applyFont="1" applyBorder="1" applyAlignment="1">
      <alignment vertical="center" wrapText="1"/>
    </xf>
    <xf numFmtId="0" fontId="6" fillId="0" borderId="0" xfId="0" applyFont="1" applyAlignment="1">
      <alignment vertical="center" wrapText="1"/>
    </xf>
    <xf numFmtId="0" fontId="7" fillId="0" borderId="0" xfId="0" applyFont="1" applyBorder="1" applyAlignment="1">
      <alignment vertical="center"/>
    </xf>
    <xf numFmtId="0" fontId="7" fillId="0" borderId="9" xfId="0" applyFont="1" applyBorder="1" applyAlignment="1">
      <alignment horizontal="center" vertical="center" wrapText="1"/>
    </xf>
    <xf numFmtId="0" fontId="7" fillId="0" borderId="9" xfId="0" quotePrefix="1" applyFont="1" applyBorder="1" applyAlignment="1">
      <alignment horizontal="center" vertical="center"/>
    </xf>
    <xf numFmtId="0" fontId="18" fillId="0" borderId="0" xfId="0" applyFont="1" applyBorder="1" applyAlignment="1">
      <alignment vertical="center"/>
    </xf>
    <xf numFmtId="168" fontId="6" fillId="0" borderId="0" xfId="0" applyNumberFormat="1" applyFont="1" applyAlignment="1">
      <alignment vertical="center"/>
    </xf>
    <xf numFmtId="168" fontId="7" fillId="0" borderId="0" xfId="0" applyNumberFormat="1" applyFont="1" applyBorder="1" applyAlignment="1">
      <alignment vertical="center"/>
    </xf>
    <xf numFmtId="168" fontId="6" fillId="0" borderId="0" xfId="0" applyNumberFormat="1" applyFont="1" applyBorder="1" applyAlignment="1">
      <alignment vertical="center"/>
    </xf>
    <xf numFmtId="168" fontId="6" fillId="0" borderId="0" xfId="0" applyNumberFormat="1" applyFont="1" applyBorder="1" applyAlignment="1">
      <alignment vertical="center" wrapText="1"/>
    </xf>
    <xf numFmtId="168" fontId="6" fillId="0" borderId="4" xfId="0" applyNumberFormat="1" applyFont="1" applyBorder="1" applyAlignment="1">
      <alignment vertical="center" wrapText="1"/>
    </xf>
    <xf numFmtId="0" fontId="6" fillId="0" borderId="5" xfId="0" applyFont="1" applyBorder="1" applyAlignment="1">
      <alignment vertical="center" wrapText="1"/>
    </xf>
    <xf numFmtId="168" fontId="6" fillId="0" borderId="5" xfId="0" applyNumberFormat="1" applyFont="1" applyBorder="1" applyAlignment="1">
      <alignment vertical="center" wrapText="1"/>
    </xf>
    <xf numFmtId="168" fontId="6" fillId="0" borderId="6" xfId="0" applyNumberFormat="1" applyFont="1" applyBorder="1" applyAlignment="1">
      <alignment vertical="center" wrapText="1"/>
    </xf>
    <xf numFmtId="0" fontId="7" fillId="0" borderId="8" xfId="0" applyFont="1" applyBorder="1" applyAlignment="1">
      <alignment horizontal="center" vertical="center" wrapText="1"/>
    </xf>
    <xf numFmtId="0" fontId="6" fillId="0" borderId="6" xfId="0" applyFont="1" applyBorder="1" applyAlignment="1">
      <alignment vertical="center" wrapText="1"/>
    </xf>
    <xf numFmtId="0" fontId="20" fillId="0" borderId="0" xfId="0" applyFont="1" applyBorder="1" applyAlignment="1">
      <alignment horizontal="left" vertical="center" wrapText="1"/>
    </xf>
    <xf numFmtId="168" fontId="20" fillId="0" borderId="0" xfId="1" applyNumberFormat="1" applyFont="1" applyBorder="1" applyAlignment="1">
      <alignment vertical="center"/>
    </xf>
    <xf numFmtId="168" fontId="20" fillId="0" borderId="5" xfId="1" applyNumberFormat="1" applyFont="1" applyBorder="1" applyAlignment="1">
      <alignment vertical="center"/>
    </xf>
    <xf numFmtId="0" fontId="20" fillId="0" borderId="0" xfId="0" applyFont="1" applyBorder="1" applyAlignment="1">
      <alignment horizontal="left" vertical="center"/>
    </xf>
    <xf numFmtId="0" fontId="20" fillId="0" borderId="0" xfId="0" applyFont="1" applyBorder="1" applyAlignment="1">
      <alignment vertical="center" wrapText="1"/>
    </xf>
    <xf numFmtId="168" fontId="6" fillId="0" borderId="0" xfId="0" applyNumberFormat="1" applyFont="1" applyAlignment="1">
      <alignment vertical="center" wrapText="1"/>
    </xf>
    <xf numFmtId="0" fontId="7" fillId="0" borderId="8" xfId="0" applyFont="1" applyBorder="1" applyAlignment="1">
      <alignment vertical="center" wrapText="1"/>
    </xf>
    <xf numFmtId="0" fontId="15" fillId="0" borderId="0" xfId="0" applyFont="1" applyBorder="1" applyAlignment="1">
      <alignment vertical="center"/>
    </xf>
    <xf numFmtId="0" fontId="27" fillId="0" borderId="9" xfId="0" quotePrefix="1" applyFont="1" applyBorder="1" applyAlignment="1">
      <alignment horizontal="left" vertical="center" wrapText="1"/>
    </xf>
    <xf numFmtId="0" fontId="14" fillId="0" borderId="0" xfId="0" applyFont="1" applyBorder="1" applyAlignment="1">
      <alignment horizontal="left" vertical="center" wrapText="1"/>
    </xf>
    <xf numFmtId="168" fontId="15" fillId="0" borderId="0" xfId="1" applyNumberFormat="1" applyFont="1" applyBorder="1" applyAlignment="1">
      <alignment vertical="center"/>
    </xf>
    <xf numFmtId="0" fontId="14" fillId="0" borderId="9" xfId="0" applyFont="1" applyBorder="1" applyAlignment="1">
      <alignment horizontal="center" vertical="center"/>
    </xf>
    <xf numFmtId="0" fontId="15" fillId="0" borderId="0" xfId="0" applyFont="1" applyBorder="1" applyAlignment="1">
      <alignment horizontal="left" vertical="center" wrapText="1"/>
    </xf>
    <xf numFmtId="0" fontId="15" fillId="0" borderId="0" xfId="0" applyFont="1" applyBorder="1" applyAlignment="1">
      <alignment horizontal="justify" vertical="center" wrapText="1"/>
    </xf>
    <xf numFmtId="168" fontId="21" fillId="0" borderId="5" xfId="1" applyNumberFormat="1" applyFont="1" applyBorder="1" applyAlignment="1">
      <alignment horizontal="center" vertical="center" wrapText="1"/>
    </xf>
    <xf numFmtId="168" fontId="21" fillId="0" borderId="5" xfId="1" quotePrefix="1" applyNumberFormat="1" applyFont="1" applyBorder="1" applyAlignment="1">
      <alignment horizontal="center" vertical="center" wrapText="1"/>
    </xf>
    <xf numFmtId="0" fontId="21" fillId="0" borderId="0" xfId="0" applyFont="1" applyBorder="1" applyAlignment="1">
      <alignment horizontal="left" vertical="center" wrapText="1"/>
    </xf>
    <xf numFmtId="168" fontId="21" fillId="0" borderId="10" xfId="1" applyNumberFormat="1" applyFont="1" applyBorder="1" applyAlignment="1">
      <alignment vertical="center"/>
    </xf>
    <xf numFmtId="0" fontId="15" fillId="0" borderId="0" xfId="0" applyFont="1" applyBorder="1" applyAlignment="1">
      <alignment horizontal="left" vertical="center"/>
    </xf>
    <xf numFmtId="0" fontId="14" fillId="0" borderId="9" xfId="0" applyFont="1" applyBorder="1" applyAlignment="1">
      <alignment horizontal="justify" vertical="center" wrapText="1"/>
    </xf>
    <xf numFmtId="0" fontId="15" fillId="0" borderId="4" xfId="0" applyFont="1" applyBorder="1" applyAlignment="1">
      <alignment horizontal="justify" vertical="center" wrapText="1"/>
    </xf>
    <xf numFmtId="0" fontId="10" fillId="0" borderId="9" xfId="0" applyFont="1" applyFill="1" applyBorder="1" applyAlignment="1">
      <alignment horizontal="center" vertical="center"/>
    </xf>
    <xf numFmtId="0" fontId="14" fillId="0" borderId="0" xfId="0" applyFont="1" applyBorder="1" applyAlignment="1">
      <alignment vertical="center" wrapText="1"/>
    </xf>
    <xf numFmtId="0" fontId="15" fillId="0" borderId="0" xfId="0" applyFont="1" applyBorder="1" applyAlignment="1">
      <alignment vertical="center" wrapText="1"/>
    </xf>
    <xf numFmtId="0" fontId="21" fillId="0" borderId="30" xfId="0" applyFont="1" applyBorder="1" applyAlignment="1">
      <alignment horizontal="center" vertical="center" wrapText="1"/>
    </xf>
    <xf numFmtId="0" fontId="21" fillId="0" borderId="0" xfId="0" applyFont="1" applyBorder="1" applyAlignment="1">
      <alignment vertical="center" wrapText="1"/>
    </xf>
    <xf numFmtId="168" fontId="21" fillId="0" borderId="7" xfId="1" applyNumberFormat="1" applyFont="1" applyBorder="1" applyAlignment="1">
      <alignment vertical="center"/>
    </xf>
    <xf numFmtId="0" fontId="14" fillId="0" borderId="8" xfId="0" applyFont="1" applyBorder="1" applyAlignment="1">
      <alignment horizontal="center" vertical="center"/>
    </xf>
    <xf numFmtId="0" fontId="15" fillId="0" borderId="5" xfId="0" applyFont="1" applyBorder="1" applyAlignment="1">
      <alignment horizontal="left" vertical="center"/>
    </xf>
    <xf numFmtId="168" fontId="15" fillId="0" borderId="5" xfId="1" applyNumberFormat="1" applyFont="1" applyBorder="1" applyAlignment="1">
      <alignment vertical="center"/>
    </xf>
    <xf numFmtId="0" fontId="15" fillId="0" borderId="5" xfId="0" applyFont="1" applyBorder="1" applyAlignment="1">
      <alignment vertical="center"/>
    </xf>
    <xf numFmtId="0" fontId="15" fillId="0" borderId="6" xfId="0" applyFont="1" applyBorder="1" applyAlignment="1">
      <alignment vertical="center"/>
    </xf>
    <xf numFmtId="0" fontId="14" fillId="0" borderId="12" xfId="0" applyFont="1" applyFill="1" applyBorder="1" applyAlignment="1">
      <alignment horizontal="left" vertical="center"/>
    </xf>
    <xf numFmtId="0" fontId="15" fillId="0" borderId="13" xfId="0" applyFont="1" applyFill="1" applyBorder="1" applyAlignment="1">
      <alignment horizontal="left" vertical="center"/>
    </xf>
    <xf numFmtId="168" fontId="15" fillId="0" borderId="13" xfId="1" applyNumberFormat="1" applyFont="1" applyFill="1" applyBorder="1" applyAlignment="1">
      <alignment vertical="center"/>
    </xf>
    <xf numFmtId="0" fontId="15" fillId="0" borderId="13" xfId="0" applyFont="1" applyFill="1" applyBorder="1" applyAlignment="1">
      <alignment vertical="center"/>
    </xf>
    <xf numFmtId="0" fontId="15" fillId="0" borderId="14" xfId="0" applyFont="1" applyFill="1" applyBorder="1" applyAlignment="1">
      <alignment vertical="center"/>
    </xf>
    <xf numFmtId="0" fontId="14" fillId="0" borderId="0" xfId="0" applyFont="1" applyBorder="1" applyAlignment="1">
      <alignment horizontal="center" vertical="center"/>
    </xf>
    <xf numFmtId="164" fontId="15" fillId="0" borderId="0" xfId="1" applyNumberFormat="1" applyFont="1" applyBorder="1" applyAlignment="1"/>
    <xf numFmtId="164" fontId="7" fillId="0" borderId="0" xfId="1" applyNumberFormat="1" applyFont="1" applyBorder="1" applyAlignment="1"/>
    <xf numFmtId="164" fontId="15" fillId="0" borderId="0" xfId="1" applyNumberFormat="1" applyFont="1" applyBorder="1" applyAlignment="1">
      <alignment vertical="top"/>
    </xf>
    <xf numFmtId="164" fontId="7" fillId="0" borderId="0" xfId="1" applyNumberFormat="1" applyFont="1" applyBorder="1" applyAlignment="1">
      <alignment vertical="top"/>
    </xf>
    <xf numFmtId="164" fontId="15" fillId="0" borderId="5" xfId="1" applyNumberFormat="1" applyFont="1" applyBorder="1" applyAlignment="1">
      <alignment vertical="top"/>
    </xf>
    <xf numFmtId="164" fontId="7" fillId="0" borderId="0" xfId="1" quotePrefix="1" applyNumberFormat="1" applyFont="1" applyBorder="1" applyAlignment="1">
      <alignment vertical="top"/>
    </xf>
    <xf numFmtId="164" fontId="15" fillId="0" borderId="0" xfId="1" applyNumberFormat="1" applyFont="1" applyAlignment="1">
      <alignment vertical="top"/>
    </xf>
    <xf numFmtId="164" fontId="6" fillId="0" borderId="0" xfId="1" applyNumberFormat="1" applyFont="1" applyAlignment="1"/>
    <xf numFmtId="168" fontId="15" fillId="0" borderId="9" xfId="1" applyNumberFormat="1" applyFont="1" applyBorder="1"/>
    <xf numFmtId="168" fontId="7" fillId="0" borderId="9" xfId="1" applyNumberFormat="1" applyFont="1" applyBorder="1"/>
    <xf numFmtId="168" fontId="15" fillId="0" borderId="9" xfId="1" applyNumberFormat="1" applyFont="1" applyBorder="1" applyAlignment="1">
      <alignment horizontal="justify" vertical="top"/>
    </xf>
    <xf numFmtId="168" fontId="7" fillId="0" borderId="9" xfId="1" applyNumberFormat="1" applyFont="1" applyBorder="1" applyAlignment="1">
      <alignment horizontal="justify" vertical="top"/>
    </xf>
    <xf numFmtId="168" fontId="15" fillId="0" borderId="8" xfId="1" applyNumberFormat="1" applyFont="1" applyBorder="1" applyAlignment="1">
      <alignment horizontal="justify" vertical="top"/>
    </xf>
    <xf numFmtId="168" fontId="6" fillId="0" borderId="9" xfId="1" applyNumberFormat="1" applyFont="1" applyBorder="1" applyAlignment="1">
      <alignment horizontal="justify" vertical="top"/>
    </xf>
    <xf numFmtId="168" fontId="15" fillId="0" borderId="0" xfId="1" applyNumberFormat="1" applyFont="1" applyAlignment="1">
      <alignment horizontal="justify" vertical="top"/>
    </xf>
    <xf numFmtId="168" fontId="6" fillId="0" borderId="0" xfId="1" applyNumberFormat="1" applyFont="1"/>
    <xf numFmtId="0" fontId="19" fillId="0" borderId="0" xfId="0" quotePrefix="1" applyFont="1" applyBorder="1" applyAlignment="1">
      <alignment horizontal="left" vertical="top"/>
    </xf>
    <xf numFmtId="0" fontId="17" fillId="0" borderId="0" xfId="0" applyFont="1" applyBorder="1" applyAlignment="1">
      <alignment vertical="center"/>
    </xf>
    <xf numFmtId="168" fontId="17" fillId="0" borderId="0" xfId="1" applyNumberFormat="1" applyFont="1" applyBorder="1" applyAlignment="1">
      <alignment vertical="center"/>
    </xf>
    <xf numFmtId="0" fontId="26" fillId="0" borderId="0" xfId="0" applyFont="1" applyBorder="1" applyAlignment="1">
      <alignment vertical="center"/>
    </xf>
    <xf numFmtId="168" fontId="6" fillId="0" borderId="0" xfId="1" applyNumberFormat="1" applyFont="1" applyBorder="1" applyAlignment="1">
      <alignment horizontal="center" vertical="center" wrapText="1"/>
    </xf>
    <xf numFmtId="168" fontId="17" fillId="0" borderId="7" xfId="1" applyNumberFormat="1" applyFont="1" applyBorder="1" applyAlignment="1">
      <alignment vertical="center"/>
    </xf>
    <xf numFmtId="0" fontId="17" fillId="0" borderId="4" xfId="0" applyFont="1" applyBorder="1" applyAlignment="1">
      <alignment horizontal="justify" vertical="justify"/>
    </xf>
    <xf numFmtId="0" fontId="26" fillId="0" borderId="4" xfId="0" applyFont="1" applyBorder="1" applyAlignment="1">
      <alignment horizontal="center"/>
    </xf>
    <xf numFmtId="0" fontId="26" fillId="0" borderId="9" xfId="0" quotePrefix="1" applyFont="1" applyBorder="1" applyAlignment="1">
      <alignment horizontal="center" vertical="center"/>
    </xf>
    <xf numFmtId="0" fontId="17" fillId="0" borderId="4" xfId="0" applyFont="1" applyBorder="1" applyAlignment="1">
      <alignment vertical="center"/>
    </xf>
    <xf numFmtId="0" fontId="6" fillId="0" borderId="4" xfId="0" applyFont="1" applyBorder="1" applyAlignment="1">
      <alignment horizontal="center" vertical="center" wrapText="1"/>
    </xf>
    <xf numFmtId="0" fontId="26" fillId="0" borderId="9" xfId="0" applyFont="1" applyBorder="1" applyAlignment="1">
      <alignment horizontal="center" vertical="center"/>
    </xf>
    <xf numFmtId="0" fontId="26" fillId="0" borderId="8" xfId="0" applyFont="1" applyBorder="1" applyAlignment="1">
      <alignment horizontal="center" vertical="center"/>
    </xf>
    <xf numFmtId="0" fontId="17" fillId="0" borderId="5" xfId="0" applyFont="1" applyBorder="1" applyAlignment="1">
      <alignment vertical="center"/>
    </xf>
    <xf numFmtId="168" fontId="17" fillId="0" borderId="5" xfId="1" applyNumberFormat="1" applyFont="1" applyBorder="1" applyAlignment="1">
      <alignment vertical="center"/>
    </xf>
    <xf numFmtId="0" fontId="17" fillId="0" borderId="6" xfId="0" applyFont="1" applyBorder="1" applyAlignment="1">
      <alignment vertical="center"/>
    </xf>
    <xf numFmtId="0" fontId="39" fillId="0" borderId="0" xfId="0" applyFont="1" applyAlignment="1">
      <alignment vertical="center"/>
    </xf>
    <xf numFmtId="0" fontId="39" fillId="0" borderId="0" xfId="0" applyFont="1" applyAlignment="1">
      <alignment vertical="center" wrapText="1"/>
    </xf>
    <xf numFmtId="0" fontId="46" fillId="0" borderId="31" xfId="0" applyFont="1" applyBorder="1" applyAlignment="1">
      <alignment horizontal="center" vertical="center" wrapText="1"/>
    </xf>
    <xf numFmtId="0" fontId="46" fillId="0" borderId="32" xfId="0" applyFont="1" applyBorder="1" applyAlignment="1">
      <alignment horizontal="center" vertical="center" wrapText="1"/>
    </xf>
    <xf numFmtId="0" fontId="47" fillId="0" borderId="33" xfId="0" applyFont="1" applyBorder="1" applyAlignment="1">
      <alignment vertical="center" wrapText="1"/>
    </xf>
    <xf numFmtId="0" fontId="46" fillId="0" borderId="33" xfId="0" applyFont="1" applyBorder="1" applyAlignment="1">
      <alignment vertical="center" wrapText="1"/>
    </xf>
    <xf numFmtId="0" fontId="47" fillId="0" borderId="34" xfId="0" applyFont="1" applyBorder="1" applyAlignment="1">
      <alignment vertical="center" wrapText="1"/>
    </xf>
    <xf numFmtId="0" fontId="47" fillId="0" borderId="34" xfId="0" applyFont="1" applyFill="1" applyBorder="1" applyAlignment="1">
      <alignment vertical="center" wrapText="1"/>
    </xf>
    <xf numFmtId="0" fontId="0" fillId="0" borderId="34" xfId="0" applyBorder="1" applyAlignment="1">
      <alignment vertical="center"/>
    </xf>
    <xf numFmtId="0" fontId="0" fillId="0" borderId="34" xfId="0" applyBorder="1" applyAlignment="1">
      <alignment vertical="center" wrapText="1"/>
    </xf>
    <xf numFmtId="0" fontId="47" fillId="0" borderId="35" xfId="0" applyFont="1" applyBorder="1" applyAlignment="1">
      <alignment vertical="center" wrapText="1"/>
    </xf>
    <xf numFmtId="0" fontId="0" fillId="0" borderId="35" xfId="0" applyBorder="1" applyAlignment="1">
      <alignment vertical="center" wrapText="1"/>
    </xf>
    <xf numFmtId="0" fontId="47" fillId="0" borderId="31" xfId="0" applyFont="1" applyBorder="1" applyAlignment="1">
      <alignment vertical="center" wrapText="1"/>
    </xf>
    <xf numFmtId="0" fontId="20" fillId="0" borderId="31" xfId="0" applyFont="1" applyBorder="1" applyAlignment="1">
      <alignment vertical="center" wrapText="1"/>
    </xf>
    <xf numFmtId="0" fontId="47" fillId="0" borderId="33" xfId="0" applyFont="1" applyBorder="1" applyAlignment="1">
      <alignment horizontal="left" vertical="center" wrapText="1"/>
    </xf>
    <xf numFmtId="0" fontId="47" fillId="0" borderId="35" xfId="0" applyFont="1" applyBorder="1" applyAlignment="1">
      <alignment horizontal="left" vertical="center" wrapText="1"/>
    </xf>
    <xf numFmtId="0" fontId="47" fillId="0" borderId="34" xfId="0" applyFont="1" applyBorder="1" applyAlignment="1">
      <alignment horizontal="left" vertical="center" wrapText="1"/>
    </xf>
    <xf numFmtId="0" fontId="47" fillId="0" borderId="33" xfId="0" applyFont="1" applyBorder="1" applyAlignment="1">
      <alignment horizontal="justify" vertical="center" wrapText="1"/>
    </xf>
    <xf numFmtId="0" fontId="49" fillId="0" borderId="34" xfId="0" applyFont="1" applyBorder="1" applyAlignment="1">
      <alignment horizontal="justify" vertical="center" wrapText="1"/>
    </xf>
    <xf numFmtId="0" fontId="47" fillId="0" borderId="35" xfId="0" applyFont="1" applyBorder="1" applyAlignment="1">
      <alignment horizontal="justify" vertical="center" wrapText="1"/>
    </xf>
    <xf numFmtId="0" fontId="47" fillId="0" borderId="34" xfId="0" applyFont="1" applyBorder="1" applyAlignment="1">
      <alignment horizontal="justify" vertical="center" wrapText="1"/>
    </xf>
    <xf numFmtId="0" fontId="48" fillId="0" borderId="34" xfId="0" applyFont="1" applyBorder="1" applyAlignment="1">
      <alignment horizontal="left" vertical="center" wrapText="1"/>
    </xf>
    <xf numFmtId="0" fontId="50" fillId="0" borderId="34" xfId="0" applyFont="1" applyBorder="1" applyAlignment="1">
      <alignment horizontal="justify" vertical="center" wrapText="1"/>
    </xf>
    <xf numFmtId="0" fontId="50" fillId="0" borderId="35" xfId="0" applyFont="1" applyBorder="1" applyAlignment="1">
      <alignment horizontal="justify" vertical="center" wrapText="1"/>
    </xf>
    <xf numFmtId="0" fontId="20" fillId="0" borderId="34" xfId="0" applyFont="1" applyBorder="1" applyAlignment="1">
      <alignment horizontal="justify" vertical="center" wrapText="1"/>
    </xf>
    <xf numFmtId="0" fontId="53" fillId="0" borderId="34" xfId="0" applyFont="1" applyBorder="1" applyAlignment="1">
      <alignment horizontal="justify" vertical="center" wrapText="1"/>
    </xf>
    <xf numFmtId="0" fontId="47" fillId="0" borderId="21" xfId="0" applyFont="1" applyBorder="1" applyAlignment="1">
      <alignment vertical="center" wrapText="1"/>
    </xf>
    <xf numFmtId="0" fontId="47" fillId="0" borderId="31" xfId="0" applyFont="1" applyBorder="1" applyAlignment="1">
      <alignment horizontal="left" vertical="center" wrapText="1"/>
    </xf>
    <xf numFmtId="0" fontId="45" fillId="0" borderId="0" xfId="0" applyFont="1" applyAlignment="1">
      <alignment vertical="center" wrapText="1"/>
    </xf>
    <xf numFmtId="0" fontId="36" fillId="0" borderId="0" xfId="0" applyFont="1" applyAlignment="1">
      <alignment horizontal="center" vertical="center"/>
    </xf>
    <xf numFmtId="164" fontId="56" fillId="0" borderId="0" xfId="1" applyNumberFormat="1" applyFont="1" applyBorder="1" applyAlignment="1">
      <alignment vertical="top"/>
    </xf>
    <xf numFmtId="0" fontId="56" fillId="0" borderId="0" xfId="0" applyFont="1" applyBorder="1" applyAlignment="1">
      <alignment horizontal="justify" vertical="top" wrapText="1"/>
    </xf>
    <xf numFmtId="0" fontId="57" fillId="0" borderId="4" xfId="0" applyFont="1" applyBorder="1" applyAlignment="1">
      <alignment horizontal="center" vertical="top"/>
    </xf>
    <xf numFmtId="0" fontId="56" fillId="0" borderId="4" xfId="0" applyFont="1" applyBorder="1" applyAlignment="1">
      <alignment horizontal="center" vertical="top"/>
    </xf>
    <xf numFmtId="0" fontId="6" fillId="0" borderId="9" xfId="0" applyFont="1" applyBorder="1" applyAlignment="1">
      <alignment vertical="top" wrapText="1"/>
    </xf>
    <xf numFmtId="164" fontId="6" fillId="0" borderId="0" xfId="1" applyNumberFormat="1" applyFont="1" applyBorder="1" applyAlignment="1"/>
    <xf numFmtId="0" fontId="6" fillId="0" borderId="0" xfId="0" applyFont="1" applyBorder="1" applyAlignment="1">
      <alignment horizontal="justify"/>
    </xf>
    <xf numFmtId="0" fontId="45" fillId="0" borderId="0" xfId="0" applyFont="1"/>
    <xf numFmtId="0" fontId="13" fillId="0" borderId="0" xfId="0" applyFont="1" applyProtection="1"/>
    <xf numFmtId="0" fontId="16" fillId="0" borderId="0" xfId="0" applyFont="1" applyAlignment="1" applyProtection="1">
      <alignment horizontal="right"/>
    </xf>
    <xf numFmtId="0" fontId="13" fillId="0" borderId="36" xfId="0" applyFont="1" applyBorder="1" applyProtection="1"/>
    <xf numFmtId="0" fontId="13" fillId="0" borderId="37" xfId="0" applyFont="1" applyBorder="1" applyProtection="1"/>
    <xf numFmtId="0" fontId="13" fillId="0" borderId="38" xfId="0" applyFont="1" applyBorder="1" applyProtection="1"/>
    <xf numFmtId="0" fontId="13" fillId="0" borderId="39" xfId="0" applyFont="1" applyBorder="1" applyProtection="1"/>
    <xf numFmtId="0" fontId="13" fillId="0" borderId="40" xfId="0" applyFont="1" applyBorder="1" applyProtection="1"/>
    <xf numFmtId="0" fontId="13" fillId="0" borderId="41" xfId="0" applyFont="1" applyBorder="1" applyProtection="1"/>
    <xf numFmtId="0" fontId="54" fillId="0" borderId="0" xfId="0" applyFont="1" applyProtection="1"/>
    <xf numFmtId="0" fontId="13" fillId="0" borderId="0" xfId="0" applyFont="1" applyAlignment="1" applyProtection="1">
      <alignment horizontal="left"/>
    </xf>
    <xf numFmtId="0" fontId="55" fillId="0" borderId="0" xfId="0" applyFont="1" applyProtection="1"/>
    <xf numFmtId="0" fontId="45" fillId="0" borderId="0" xfId="0" applyFont="1" applyProtection="1"/>
    <xf numFmtId="0" fontId="17" fillId="0" borderId="0" xfId="0" applyFont="1" applyBorder="1" applyAlignment="1">
      <alignment horizontal="center" vertical="center" wrapText="1"/>
    </xf>
    <xf numFmtId="0" fontId="17" fillId="0" borderId="0" xfId="0" applyFont="1" applyBorder="1" applyAlignment="1">
      <alignment horizontal="left" vertical="center" wrapText="1"/>
    </xf>
    <xf numFmtId="0" fontId="17" fillId="0" borderId="42" xfId="0" applyFont="1" applyBorder="1" applyAlignment="1">
      <alignment horizontal="left" vertical="center" wrapText="1"/>
    </xf>
    <xf numFmtId="0" fontId="17" fillId="0" borderId="42" xfId="0" applyFont="1" applyBorder="1" applyAlignment="1">
      <alignment horizontal="center" vertical="center" wrapText="1"/>
    </xf>
    <xf numFmtId="0" fontId="17" fillId="0" borderId="42" xfId="0" applyFont="1" applyFill="1" applyBorder="1" applyAlignment="1">
      <alignment horizontal="left" vertical="center" wrapText="1"/>
    </xf>
    <xf numFmtId="0" fontId="17" fillId="0" borderId="42" xfId="0" applyFont="1" applyBorder="1" applyAlignment="1">
      <alignment vertical="center"/>
    </xf>
    <xf numFmtId="0" fontId="17" fillId="0" borderId="42" xfId="0" quotePrefix="1" applyFont="1" applyBorder="1" applyAlignment="1">
      <alignment horizontal="left" vertical="center" wrapText="1"/>
    </xf>
    <xf numFmtId="0" fontId="14" fillId="0" borderId="0" xfId="0" applyFont="1" applyAlignment="1">
      <alignment vertical="top" wrapText="1"/>
    </xf>
    <xf numFmtId="168" fontId="6" fillId="0" borderId="0" xfId="1" applyNumberFormat="1" applyFont="1" applyAlignment="1">
      <alignment vertical="center" wrapText="1"/>
    </xf>
    <xf numFmtId="0" fontId="6" fillId="0" borderId="0" xfId="0" applyFont="1" applyAlignment="1">
      <alignment horizontal="left" vertical="center" wrapText="1"/>
    </xf>
    <xf numFmtId="168" fontId="7" fillId="0" borderId="16" xfId="1" applyNumberFormat="1" applyFont="1" applyBorder="1" applyAlignment="1">
      <alignment horizontal="center" vertical="center" wrapText="1"/>
    </xf>
    <xf numFmtId="0" fontId="7" fillId="0" borderId="16" xfId="0" applyFont="1" applyBorder="1" applyAlignment="1">
      <alignment vertical="center" wrapText="1"/>
    </xf>
    <xf numFmtId="168" fontId="7" fillId="0" borderId="15" xfId="1" applyNumberFormat="1" applyFont="1" applyBorder="1" applyAlignment="1">
      <alignment horizontal="center" vertical="center" wrapText="1"/>
    </xf>
    <xf numFmtId="0" fontId="7" fillId="0" borderId="15" xfId="0" applyFont="1" applyBorder="1" applyAlignment="1">
      <alignment vertical="center" wrapText="1"/>
    </xf>
    <xf numFmtId="168" fontId="6" fillId="0" borderId="1" xfId="1" applyNumberFormat="1" applyFont="1" applyBorder="1" applyAlignment="1">
      <alignment horizontal="center" vertical="center" wrapText="1"/>
    </xf>
    <xf numFmtId="168" fontId="6" fillId="0" borderId="1" xfId="1" applyNumberFormat="1" applyFont="1" applyBorder="1" applyAlignment="1">
      <alignment horizontal="right" vertical="center" wrapText="1"/>
    </xf>
    <xf numFmtId="164" fontId="6" fillId="0" borderId="9" xfId="1" applyNumberFormat="1" applyFont="1" applyBorder="1" applyAlignment="1">
      <alignment horizontal="right" vertical="center" wrapText="1"/>
    </xf>
    <xf numFmtId="0" fontId="56" fillId="0" borderId="1" xfId="0" applyNumberFormat="1" applyFont="1" applyBorder="1" applyAlignment="1">
      <alignment vertical="center" wrapText="1" shrinkToFit="1"/>
    </xf>
    <xf numFmtId="164" fontId="6" fillId="0" borderId="1" xfId="1" applyNumberFormat="1" applyFont="1" applyBorder="1" applyAlignment="1">
      <alignment horizontal="right" vertical="center" wrapText="1"/>
    </xf>
    <xf numFmtId="0" fontId="56" fillId="0" borderId="1" xfId="0" applyNumberFormat="1" applyFont="1" applyBorder="1" applyAlignment="1">
      <alignment vertical="center" wrapText="1"/>
    </xf>
    <xf numFmtId="168" fontId="7" fillId="0" borderId="2" xfId="1" applyNumberFormat="1" applyFont="1" applyBorder="1" applyAlignment="1">
      <alignment horizontal="right" vertical="center" wrapText="1"/>
    </xf>
    <xf numFmtId="164" fontId="7" fillId="0" borderId="2" xfId="1" applyNumberFormat="1" applyFont="1" applyBorder="1" applyAlignment="1">
      <alignment horizontal="right" vertical="center" wrapText="1"/>
    </xf>
    <xf numFmtId="0" fontId="7" fillId="0" borderId="15" xfId="0" applyFont="1" applyBorder="1" applyAlignment="1">
      <alignment horizontal="left" vertical="center" wrapText="1"/>
    </xf>
    <xf numFmtId="0" fontId="6" fillId="0" borderId="0" xfId="0" applyFont="1" applyAlignment="1">
      <alignment horizontal="left" vertical="center"/>
    </xf>
    <xf numFmtId="0" fontId="7" fillId="0" borderId="1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 xfId="0" applyFont="1" applyBorder="1" applyAlignment="1">
      <alignment horizontal="right" vertical="center" wrapText="1"/>
    </xf>
    <xf numFmtId="164" fontId="7" fillId="0" borderId="1" xfId="1" applyNumberFormat="1" applyFont="1" applyBorder="1" applyAlignment="1">
      <alignment horizontal="right" vertical="center" wrapText="1"/>
    </xf>
    <xf numFmtId="168" fontId="6" fillId="0" borderId="1" xfId="1" applyNumberFormat="1" applyFont="1" applyFill="1" applyBorder="1" applyAlignment="1">
      <alignment horizontal="right" vertical="center" wrapText="1"/>
    </xf>
    <xf numFmtId="0" fontId="56" fillId="0" borderId="1" xfId="0" applyFont="1" applyBorder="1" applyAlignment="1">
      <alignment vertical="center" wrapText="1"/>
    </xf>
    <xf numFmtId="0" fontId="56" fillId="0" borderId="1" xfId="0" applyFont="1" applyFill="1" applyBorder="1" applyAlignment="1">
      <alignment vertical="center" wrapText="1"/>
    </xf>
    <xf numFmtId="168" fontId="7" fillId="0" borderId="1" xfId="1" applyNumberFormat="1" applyFont="1" applyBorder="1" applyAlignment="1">
      <alignment horizontal="right" vertical="center" wrapText="1"/>
    </xf>
    <xf numFmtId="0" fontId="6" fillId="0" borderId="1" xfId="0" applyFont="1" applyBorder="1" applyAlignment="1">
      <alignment horizontal="justify" vertical="center" wrapText="1"/>
    </xf>
    <xf numFmtId="168" fontId="6" fillId="0" borderId="17" xfId="1" applyNumberFormat="1" applyFont="1" applyBorder="1" applyAlignment="1">
      <alignment horizontal="right" vertical="center" wrapText="1"/>
    </xf>
    <xf numFmtId="168" fontId="6" fillId="0" borderId="15" xfId="1" applyNumberFormat="1" applyFont="1" applyBorder="1" applyAlignment="1">
      <alignment horizontal="right" vertical="center" wrapText="1"/>
    </xf>
    <xf numFmtId="0" fontId="6" fillId="0" borderId="15" xfId="0" applyFont="1" applyBorder="1" applyAlignment="1">
      <alignment horizontal="justify" vertical="center" wrapText="1"/>
    </xf>
    <xf numFmtId="0" fontId="6" fillId="0" borderId="1" xfId="0" applyFont="1" applyBorder="1" applyAlignment="1">
      <alignment vertical="top" wrapText="1"/>
    </xf>
    <xf numFmtId="0" fontId="15" fillId="0" borderId="0" xfId="0" applyFont="1" applyAlignment="1">
      <alignment horizontal="center"/>
    </xf>
    <xf numFmtId="16" fontId="17" fillId="0" borderId="42" xfId="0" quotePrefix="1" applyNumberFormat="1" applyFont="1" applyBorder="1" applyAlignment="1">
      <alignment horizontal="center" vertical="center" wrapText="1"/>
    </xf>
    <xf numFmtId="0" fontId="17" fillId="0" borderId="42" xfId="0" quotePrefix="1" applyFont="1" applyBorder="1" applyAlignment="1">
      <alignment horizontal="center" vertical="center" wrapText="1"/>
    </xf>
    <xf numFmtId="168" fontId="58" fillId="0" borderId="0" xfId="1" applyNumberFormat="1" applyFont="1" applyFill="1" applyBorder="1" applyAlignment="1">
      <alignment horizontal="right" vertical="top"/>
    </xf>
    <xf numFmtId="168" fontId="23" fillId="5" borderId="2" xfId="1" applyNumberFormat="1" applyFont="1" applyFill="1" applyBorder="1" applyAlignment="1">
      <alignment horizontal="center" vertical="center" wrapText="1"/>
    </xf>
    <xf numFmtId="0" fontId="23" fillId="0" borderId="9" xfId="0" applyFont="1" applyBorder="1" applyAlignment="1">
      <alignment horizontal="center" vertical="center" wrapText="1"/>
    </xf>
    <xf numFmtId="168" fontId="23" fillId="0" borderId="0" xfId="1" applyNumberFormat="1" applyFont="1" applyBorder="1" applyAlignment="1">
      <alignment horizontal="center" vertical="center" wrapText="1"/>
    </xf>
    <xf numFmtId="168" fontId="23" fillId="0" borderId="0" xfId="1" applyNumberFormat="1" applyFont="1" applyBorder="1" applyAlignment="1">
      <alignment vertical="center" wrapText="1"/>
    </xf>
    <xf numFmtId="0" fontId="23" fillId="0" borderId="4" xfId="0" applyFont="1" applyBorder="1" applyAlignment="1">
      <alignment horizontal="center" vertical="center" wrapText="1"/>
    </xf>
    <xf numFmtId="0" fontId="23" fillId="0" borderId="9" xfId="0" applyFont="1" applyBorder="1" applyAlignment="1">
      <alignment vertical="center" wrapText="1"/>
    </xf>
    <xf numFmtId="168" fontId="23" fillId="0" borderId="0" xfId="1" applyNumberFormat="1" applyFont="1" applyBorder="1" applyAlignment="1">
      <alignment horizontal="right" vertical="center" wrapText="1"/>
    </xf>
    <xf numFmtId="0" fontId="25" fillId="0" borderId="9" xfId="0" applyFont="1" applyBorder="1" applyAlignment="1">
      <alignment vertical="center" wrapText="1"/>
    </xf>
    <xf numFmtId="168" fontId="25" fillId="0" borderId="16" xfId="1" applyNumberFormat="1" applyFont="1" applyBorder="1" applyAlignment="1">
      <alignment horizontal="right" vertical="center" wrapText="1"/>
    </xf>
    <xf numFmtId="168" fontId="25" fillId="0" borderId="0" xfId="1" applyNumberFormat="1" applyFont="1" applyBorder="1" applyAlignment="1">
      <alignment horizontal="right" vertical="center" wrapText="1"/>
    </xf>
    <xf numFmtId="168" fontId="25" fillId="0" borderId="1" xfId="1" applyNumberFormat="1" applyFont="1" applyBorder="1" applyAlignment="1">
      <alignment horizontal="right" vertical="center" wrapText="1"/>
    </xf>
    <xf numFmtId="168" fontId="25" fillId="0" borderId="0" xfId="1" applyNumberFormat="1" applyFont="1" applyBorder="1" applyAlignment="1">
      <alignment horizontal="center" vertical="center" wrapText="1"/>
    </xf>
    <xf numFmtId="168" fontId="25" fillId="0" borderId="15" xfId="1" applyNumberFormat="1" applyFont="1" applyBorder="1" applyAlignment="1">
      <alignment horizontal="right" vertical="center" wrapText="1"/>
    </xf>
    <xf numFmtId="0" fontId="23" fillId="0" borderId="4" xfId="0" applyFont="1" applyBorder="1" applyAlignment="1">
      <alignment horizontal="right" vertical="center" wrapText="1"/>
    </xf>
    <xf numFmtId="0" fontId="24" fillId="0" borderId="12" xfId="0" applyFont="1" applyBorder="1" applyAlignment="1">
      <alignment horizontal="center" vertical="center" wrapText="1"/>
    </xf>
    <xf numFmtId="168" fontId="24" fillId="0" borderId="13" xfId="1" applyNumberFormat="1" applyFont="1" applyBorder="1" applyAlignment="1">
      <alignment horizontal="center" vertical="center" wrapText="1"/>
    </xf>
    <xf numFmtId="0" fontId="23" fillId="0" borderId="4" xfId="0" applyFont="1" applyBorder="1" applyAlignment="1">
      <alignment vertical="center" wrapText="1"/>
    </xf>
    <xf numFmtId="168" fontId="25" fillId="0" borderId="2" xfId="1" applyNumberFormat="1" applyFont="1" applyBorder="1" applyAlignment="1">
      <alignment horizontal="right" vertical="center" wrapText="1"/>
    </xf>
    <xf numFmtId="0" fontId="25" fillId="0" borderId="4" xfId="0" applyFont="1" applyBorder="1" applyAlignment="1">
      <alignment horizontal="right" vertical="center" wrapText="1"/>
    </xf>
    <xf numFmtId="0" fontId="28" fillId="0" borderId="9" xfId="0" applyFont="1" applyBorder="1" applyAlignment="1">
      <alignment vertical="center" wrapText="1"/>
    </xf>
    <xf numFmtId="168" fontId="28" fillId="0" borderId="0" xfId="1" applyNumberFormat="1" applyFont="1" applyBorder="1" applyAlignment="1">
      <alignment horizontal="right" vertical="center" wrapText="1"/>
    </xf>
    <xf numFmtId="168" fontId="29" fillId="0" borderId="0" xfId="1" applyNumberFormat="1" applyFont="1" applyBorder="1" applyAlignment="1">
      <alignment horizontal="right" vertical="center" wrapText="1"/>
    </xf>
    <xf numFmtId="0" fontId="28" fillId="0" borderId="4" xfId="0" applyFont="1" applyBorder="1" applyAlignment="1">
      <alignment horizontal="right" vertical="center" wrapText="1"/>
    </xf>
    <xf numFmtId="0" fontId="23" fillId="0" borderId="8" xfId="0" applyFont="1" applyBorder="1" applyAlignment="1">
      <alignment vertical="center" wrapText="1"/>
    </xf>
    <xf numFmtId="168" fontId="23" fillId="0" borderId="5" xfId="1" applyNumberFormat="1" applyFont="1" applyBorder="1" applyAlignment="1">
      <alignment horizontal="right" vertical="center" wrapText="1"/>
    </xf>
    <xf numFmtId="0" fontId="25" fillId="0" borderId="6" xfId="0" applyFont="1" applyBorder="1" applyAlignment="1">
      <alignment horizontal="right" vertical="center" wrapText="1"/>
    </xf>
    <xf numFmtId="4" fontId="59" fillId="0" borderId="0" xfId="0" applyNumberFormat="1" applyFont="1" applyFill="1"/>
    <xf numFmtId="0" fontId="6" fillId="0" borderId="0" xfId="0" applyFont="1" applyAlignment="1">
      <alignment horizontal="justify" vertical="top" wrapText="1"/>
    </xf>
    <xf numFmtId="164" fontId="15" fillId="0" borderId="0" xfId="1" applyFont="1" applyFill="1" applyBorder="1" applyAlignment="1">
      <alignment vertical="center"/>
    </xf>
    <xf numFmtId="16" fontId="6" fillId="0" borderId="4" xfId="0" quotePrefix="1" applyNumberFormat="1" applyFont="1" applyBorder="1" applyAlignment="1">
      <alignment horizontal="center" vertical="top"/>
    </xf>
    <xf numFmtId="0" fontId="6" fillId="0" borderId="4" xfId="0" quotePrefix="1" applyFont="1" applyBorder="1" applyAlignment="1">
      <alignment horizontal="center" vertical="top"/>
    </xf>
    <xf numFmtId="168" fontId="6" fillId="0" borderId="1" xfId="1" applyNumberFormat="1" applyFont="1" applyFill="1" applyBorder="1" applyAlignment="1"/>
    <xf numFmtId="164" fontId="61" fillId="0" borderId="0" xfId="1" applyFont="1"/>
    <xf numFmtId="0" fontId="61" fillId="0" borderId="0" xfId="0" applyFont="1"/>
    <xf numFmtId="0" fontId="61" fillId="0" borderId="0" xfId="0" applyFont="1" applyFill="1" applyAlignment="1">
      <alignment horizontal="center"/>
    </xf>
    <xf numFmtId="168" fontId="61" fillId="0" borderId="0" xfId="1" applyNumberFormat="1" applyFont="1"/>
    <xf numFmtId="0" fontId="61" fillId="0" borderId="0" xfId="0" quotePrefix="1" applyFont="1"/>
    <xf numFmtId="0" fontId="64" fillId="0" borderId="0" xfId="0" applyFont="1"/>
    <xf numFmtId="164" fontId="16" fillId="0" borderId="0" xfId="1" applyFont="1" applyFill="1" applyBorder="1" applyAlignment="1"/>
    <xf numFmtId="164" fontId="14" fillId="0" borderId="0" xfId="1" applyFont="1" applyFill="1" applyBorder="1" applyAlignment="1"/>
    <xf numFmtId="164" fontId="14" fillId="0" borderId="0" xfId="1" applyFont="1" applyFill="1" applyBorder="1" applyAlignment="1">
      <alignment horizontal="center"/>
    </xf>
    <xf numFmtId="164" fontId="6" fillId="0" borderId="0" xfId="1" applyFont="1" applyFill="1" applyBorder="1" applyAlignment="1"/>
    <xf numFmtId="0" fontId="65" fillId="0" borderId="0" xfId="0" applyFont="1" applyFill="1" applyAlignment="1">
      <alignment vertical="center"/>
    </xf>
    <xf numFmtId="164" fontId="65" fillId="0" borderId="0" xfId="1" applyFont="1" applyFill="1" applyAlignment="1">
      <alignment vertical="center"/>
    </xf>
    <xf numFmtId="0" fontId="66" fillId="0" borderId="0" xfId="0" applyFont="1" applyFill="1" applyAlignment="1">
      <alignment vertical="center"/>
    </xf>
    <xf numFmtId="164" fontId="66" fillId="0" borderId="0" xfId="1" applyFont="1" applyFill="1" applyAlignment="1">
      <alignment vertical="center"/>
    </xf>
    <xf numFmtId="0" fontId="67" fillId="0" borderId="0" xfId="0" applyFont="1" applyFill="1" applyAlignment="1">
      <alignment horizontal="center" vertical="center"/>
    </xf>
    <xf numFmtId="164" fontId="67" fillId="0" borderId="0" xfId="1" applyFont="1" applyFill="1" applyAlignment="1">
      <alignment horizontal="center" vertical="center"/>
    </xf>
    <xf numFmtId="164" fontId="67" fillId="0" borderId="0" xfId="1" quotePrefix="1" applyFont="1" applyFill="1" applyAlignment="1">
      <alignment horizontal="center" vertical="center"/>
    </xf>
    <xf numFmtId="164" fontId="66" fillId="0" borderId="0" xfId="1" applyFont="1" applyFill="1" applyAlignment="1">
      <alignment horizontal="center" vertical="center"/>
    </xf>
    <xf numFmtId="0" fontId="66" fillId="0" borderId="0" xfId="0" applyFont="1" applyFill="1" applyAlignment="1">
      <alignment horizontal="center" vertical="center"/>
    </xf>
    <xf numFmtId="164" fontId="66" fillId="0" borderId="0" xfId="1" quotePrefix="1" applyFont="1" applyFill="1" applyAlignment="1">
      <alignment horizontal="center" vertical="center"/>
    </xf>
    <xf numFmtId="0" fontId="66" fillId="0" borderId="0" xfId="0" quotePrefix="1" applyFont="1" applyFill="1" applyAlignment="1">
      <alignment vertical="center"/>
    </xf>
    <xf numFmtId="164" fontId="66" fillId="0" borderId="0" xfId="1" applyFont="1" applyFill="1" applyBorder="1" applyAlignment="1">
      <alignment vertical="center"/>
    </xf>
    <xf numFmtId="43" fontId="66" fillId="0" borderId="0" xfId="0" applyNumberFormat="1" applyFont="1" applyFill="1" applyAlignment="1">
      <alignment vertical="center"/>
    </xf>
    <xf numFmtId="0" fontId="66" fillId="0" borderId="0" xfId="0" applyFont="1" applyFill="1" applyAlignment="1">
      <alignment horizontal="left" vertical="center"/>
    </xf>
    <xf numFmtId="164" fontId="66" fillId="0" borderId="0" xfId="0" applyNumberFormat="1" applyFont="1" applyFill="1" applyAlignment="1">
      <alignment vertical="center"/>
    </xf>
    <xf numFmtId="164" fontId="66" fillId="0" borderId="10" xfId="1" applyFont="1" applyFill="1" applyBorder="1" applyAlignment="1">
      <alignment vertical="center"/>
    </xf>
    <xf numFmtId="175" fontId="66" fillId="0" borderId="0" xfId="0" applyNumberFormat="1" applyFont="1" applyFill="1" applyAlignment="1">
      <alignment vertical="center"/>
    </xf>
    <xf numFmtId="164" fontId="68" fillId="0" borderId="0" xfId="1" applyFont="1" applyFill="1" applyAlignment="1">
      <alignment vertical="center"/>
    </xf>
    <xf numFmtId="4" fontId="66" fillId="0" borderId="0" xfId="1" applyNumberFormat="1" applyFont="1" applyFill="1" applyAlignment="1">
      <alignment vertical="center"/>
    </xf>
    <xf numFmtId="164" fontId="66" fillId="0" borderId="0" xfId="1" applyFont="1" applyFill="1" applyAlignment="1">
      <alignment horizontal="right" vertical="center"/>
    </xf>
    <xf numFmtId="164" fontId="69" fillId="0" borderId="0" xfId="1" applyFont="1" applyFill="1" applyAlignment="1">
      <alignment horizontal="right" vertical="center"/>
    </xf>
    <xf numFmtId="4" fontId="70" fillId="0" borderId="0" xfId="0" applyNumberFormat="1" applyFont="1" applyFill="1"/>
    <xf numFmtId="4" fontId="0" fillId="0" borderId="2" xfId="0" applyNumberFormat="1" applyFill="1" applyBorder="1"/>
    <xf numFmtId="164" fontId="42" fillId="0" borderId="2" xfId="1" applyFont="1" applyFill="1" applyBorder="1"/>
    <xf numFmtId="4" fontId="70" fillId="0" borderId="2" xfId="0" applyNumberFormat="1" applyFont="1" applyFill="1" applyBorder="1"/>
    <xf numFmtId="4" fontId="42" fillId="3" borderId="2" xfId="1" applyNumberFormat="1" applyFont="1" applyFill="1" applyBorder="1"/>
    <xf numFmtId="4" fontId="71" fillId="0" borderId="2" xfId="0" applyNumberFormat="1" applyFont="1" applyFill="1" applyBorder="1"/>
    <xf numFmtId="4" fontId="43" fillId="0" borderId="2" xfId="0" applyNumberFormat="1" applyFont="1" applyFill="1" applyBorder="1"/>
    <xf numFmtId="4" fontId="44" fillId="3" borderId="2" xfId="1" applyNumberFormat="1" applyFont="1" applyFill="1" applyBorder="1"/>
    <xf numFmtId="164" fontId="44" fillId="0" borderId="2" xfId="1" applyFont="1" applyFill="1" applyBorder="1"/>
    <xf numFmtId="4" fontId="59" fillId="0" borderId="2" xfId="0" applyNumberFormat="1" applyFont="1" applyFill="1" applyBorder="1"/>
    <xf numFmtId="4" fontId="60" fillId="3" borderId="2" xfId="1" applyNumberFormat="1" applyFont="1" applyFill="1" applyBorder="1"/>
    <xf numFmtId="164" fontId="60" fillId="0" borderId="2" xfId="1" applyFont="1" applyFill="1" applyBorder="1"/>
    <xf numFmtId="4" fontId="72" fillId="0" borderId="2" xfId="0" applyNumberFormat="1" applyFont="1" applyFill="1" applyBorder="1"/>
    <xf numFmtId="4" fontId="62" fillId="3" borderId="2" xfId="1" applyNumberFormat="1" applyFont="1" applyFill="1" applyBorder="1"/>
    <xf numFmtId="4" fontId="63" fillId="3" borderId="2" xfId="1" applyNumberFormat="1" applyFont="1" applyFill="1" applyBorder="1"/>
    <xf numFmtId="164" fontId="66" fillId="6" borderId="0" xfId="1" applyFont="1" applyFill="1" applyAlignment="1">
      <alignment vertical="center"/>
    </xf>
    <xf numFmtId="164" fontId="66" fillId="6" borderId="10" xfId="1" applyFont="1" applyFill="1" applyBorder="1" applyAlignment="1">
      <alignment vertical="center"/>
    </xf>
    <xf numFmtId="164" fontId="73" fillId="0" borderId="0" xfId="1" applyFont="1" applyFill="1" applyAlignment="1">
      <alignment vertical="center"/>
    </xf>
    <xf numFmtId="164" fontId="66" fillId="0" borderId="0" xfId="1" quotePrefix="1" applyFont="1" applyFill="1" applyAlignment="1">
      <alignment vertical="center"/>
    </xf>
    <xf numFmtId="164" fontId="67" fillId="0" borderId="0" xfId="1" applyFont="1" applyFill="1" applyAlignment="1">
      <alignment vertical="center"/>
    </xf>
    <xf numFmtId="164" fontId="67" fillId="0" borderId="10" xfId="1" applyFont="1" applyFill="1" applyBorder="1" applyAlignment="1">
      <alignment vertical="center"/>
    </xf>
    <xf numFmtId="164" fontId="67" fillId="0" borderId="0" xfId="1" applyFont="1" applyFill="1" applyBorder="1" applyAlignment="1">
      <alignment vertical="center"/>
    </xf>
    <xf numFmtId="164" fontId="66" fillId="0" borderId="7" xfId="1" applyFont="1" applyFill="1" applyBorder="1" applyAlignment="1">
      <alignment vertical="center"/>
    </xf>
    <xf numFmtId="164" fontId="67" fillId="0" borderId="7" xfId="1" applyFont="1" applyFill="1" applyBorder="1" applyAlignment="1">
      <alignment vertical="center"/>
    </xf>
    <xf numFmtId="164" fontId="67" fillId="6" borderId="0" xfId="1" applyFont="1" applyFill="1" applyAlignment="1">
      <alignment vertical="center"/>
    </xf>
    <xf numFmtId="164" fontId="67" fillId="6" borderId="10" xfId="1" applyFont="1" applyFill="1" applyBorder="1" applyAlignment="1">
      <alignment vertical="center"/>
    </xf>
    <xf numFmtId="0" fontId="67" fillId="0" borderId="0" xfId="0" applyFont="1" applyFill="1" applyAlignment="1">
      <alignment vertical="center"/>
    </xf>
    <xf numFmtId="0" fontId="67" fillId="0" borderId="0" xfId="0" quotePrefix="1" applyFont="1" applyFill="1" applyAlignment="1">
      <alignment vertical="center"/>
    </xf>
    <xf numFmtId="43" fontId="67" fillId="0" borderId="0" xfId="0" applyNumberFormat="1" applyFont="1" applyFill="1" applyAlignment="1">
      <alignment vertical="center"/>
    </xf>
    <xf numFmtId="164" fontId="67" fillId="0" borderId="0" xfId="0" applyNumberFormat="1" applyFont="1" applyFill="1" applyAlignment="1">
      <alignment vertical="center"/>
    </xf>
    <xf numFmtId="43" fontId="68" fillId="0" borderId="0" xfId="1" applyNumberFormat="1" applyFont="1" applyFill="1" applyAlignment="1">
      <alignment vertical="center"/>
    </xf>
    <xf numFmtId="164" fontId="74" fillId="0" borderId="0" xfId="1" applyFont="1" applyFill="1" applyAlignment="1">
      <alignment vertical="center"/>
    </xf>
    <xf numFmtId="168" fontId="6" fillId="0" borderId="0" xfId="1" applyNumberFormat="1" applyFont="1" applyFill="1" applyAlignment="1" applyProtection="1">
      <alignment horizontal="right"/>
    </xf>
    <xf numFmtId="164" fontId="7" fillId="0" borderId="0" xfId="1" applyFont="1" applyFill="1" applyBorder="1" applyAlignment="1"/>
    <xf numFmtId="168" fontId="5" fillId="0" borderId="1" xfId="1" applyNumberFormat="1" applyFont="1" applyFill="1" applyBorder="1" applyAlignment="1">
      <alignment horizontal="right" vertical="center" wrapText="1"/>
    </xf>
    <xf numFmtId="164" fontId="45" fillId="0" borderId="0" xfId="1" applyFont="1" applyFill="1" applyAlignment="1">
      <alignment vertical="center"/>
    </xf>
    <xf numFmtId="0" fontId="66" fillId="7" borderId="0" xfId="0" applyFont="1" applyFill="1" applyAlignment="1">
      <alignment horizontal="left" vertical="center"/>
    </xf>
    <xf numFmtId="0" fontId="66" fillId="7" borderId="0" xfId="0" applyFont="1" applyFill="1" applyAlignment="1">
      <alignment vertical="center"/>
    </xf>
    <xf numFmtId="164" fontId="66" fillId="7" borderId="0" xfId="1" applyFont="1" applyFill="1" applyAlignment="1">
      <alignment vertical="center"/>
    </xf>
    <xf numFmtId="164" fontId="67" fillId="7" borderId="0" xfId="1" applyFont="1" applyFill="1" applyAlignment="1">
      <alignment vertical="center"/>
    </xf>
    <xf numFmtId="164" fontId="75" fillId="7" borderId="0" xfId="1" applyFont="1" applyFill="1" applyAlignment="1">
      <alignment vertical="center"/>
    </xf>
    <xf numFmtId="43" fontId="66" fillId="7" borderId="0" xfId="0" applyNumberFormat="1" applyFont="1" applyFill="1" applyAlignment="1">
      <alignment vertical="center"/>
    </xf>
    <xf numFmtId="164" fontId="68" fillId="7" borderId="0" xfId="1" applyFont="1" applyFill="1" applyAlignment="1">
      <alignment vertical="center"/>
    </xf>
    <xf numFmtId="164" fontId="68" fillId="3" borderId="0" xfId="1" applyFont="1" applyFill="1" applyAlignment="1">
      <alignment vertical="center"/>
    </xf>
    <xf numFmtId="164" fontId="66" fillId="3" borderId="0" xfId="1" applyFont="1" applyFill="1" applyAlignment="1">
      <alignment vertical="center"/>
    </xf>
    <xf numFmtId="0" fontId="5" fillId="0" borderId="1" xfId="0" applyFont="1" applyFill="1" applyBorder="1" applyAlignment="1">
      <alignment vertical="top"/>
    </xf>
    <xf numFmtId="0" fontId="4" fillId="0" borderId="0" xfId="0" applyFont="1"/>
    <xf numFmtId="0" fontId="36" fillId="3" borderId="0" xfId="0" applyFont="1" applyFill="1"/>
    <xf numFmtId="0" fontId="36" fillId="3" borderId="0" xfId="0" applyFont="1" applyFill="1" applyAlignment="1">
      <alignment horizontal="center"/>
    </xf>
    <xf numFmtId="168" fontId="36" fillId="3" borderId="0" xfId="1" applyNumberFormat="1" applyFont="1" applyFill="1"/>
    <xf numFmtId="168" fontId="36" fillId="3" borderId="7" xfId="1" applyNumberFormat="1" applyFont="1" applyFill="1" applyBorder="1"/>
    <xf numFmtId="0" fontId="36" fillId="0" borderId="0" xfId="0" applyFont="1"/>
    <xf numFmtId="0" fontId="36" fillId="0" borderId="0" xfId="0" applyFont="1" applyFill="1" applyAlignment="1">
      <alignment horizontal="center"/>
    </xf>
    <xf numFmtId="168" fontId="36" fillId="0" borderId="0" xfId="1" applyNumberFormat="1" applyFont="1"/>
    <xf numFmtId="168" fontId="36" fillId="0" borderId="16" xfId="1" applyNumberFormat="1" applyFont="1" applyBorder="1"/>
    <xf numFmtId="168" fontId="36" fillId="0" borderId="1" xfId="1" applyNumberFormat="1" applyFont="1" applyBorder="1"/>
    <xf numFmtId="168" fontId="36" fillId="0" borderId="15" xfId="1" applyNumberFormat="1" applyFont="1" applyBorder="1"/>
    <xf numFmtId="168" fontId="4" fillId="0" borderId="0" xfId="1" applyNumberFormat="1" applyFont="1"/>
    <xf numFmtId="168" fontId="36" fillId="3" borderId="0" xfId="1" applyNumberFormat="1" applyFont="1" applyFill="1" applyBorder="1"/>
    <xf numFmtId="168" fontId="76" fillId="3" borderId="0" xfId="1" applyNumberFormat="1" applyFont="1" applyFill="1" applyAlignment="1">
      <alignment horizontal="center"/>
    </xf>
    <xf numFmtId="168" fontId="4" fillId="0" borderId="0" xfId="1" applyNumberFormat="1" applyFont="1" applyAlignment="1">
      <alignment horizontal="center"/>
    </xf>
    <xf numFmtId="168" fontId="4" fillId="0" borderId="0" xfId="1" quotePrefix="1" applyNumberFormat="1" applyFont="1" applyAlignment="1">
      <alignment horizontal="center"/>
    </xf>
    <xf numFmtId="0" fontId="4" fillId="0" borderId="0" xfId="0" applyFont="1" applyAlignment="1">
      <alignment horizontal="center"/>
    </xf>
    <xf numFmtId="168" fontId="4" fillId="0" borderId="0" xfId="0" applyNumberFormat="1" applyFont="1"/>
    <xf numFmtId="168" fontId="76" fillId="0" borderId="0" xfId="1" applyNumberFormat="1" applyFont="1"/>
    <xf numFmtId="168" fontId="3" fillId="0" borderId="0" xfId="1" applyNumberFormat="1" applyFont="1"/>
    <xf numFmtId="0" fontId="2" fillId="0" borderId="1" xfId="0" applyFont="1" applyFill="1" applyBorder="1" applyAlignment="1">
      <alignment vertical="top"/>
    </xf>
    <xf numFmtId="168" fontId="77" fillId="0" borderId="1" xfId="1" applyNumberFormat="1" applyFont="1" applyFill="1" applyBorder="1" applyAlignment="1"/>
    <xf numFmtId="168" fontId="77" fillId="0" borderId="0" xfId="1" applyNumberFormat="1" applyFont="1" applyFill="1" applyBorder="1" applyAlignment="1">
      <alignment vertical="center"/>
    </xf>
    <xf numFmtId="0" fontId="79" fillId="0" borderId="14" xfId="0" applyFont="1" applyFill="1" applyBorder="1" applyAlignment="1">
      <alignment vertical="center"/>
    </xf>
    <xf numFmtId="164" fontId="79" fillId="0" borderId="0" xfId="1" applyFont="1" applyFill="1" applyBorder="1" applyAlignment="1">
      <alignment vertical="center"/>
    </xf>
    <xf numFmtId="168" fontId="80" fillId="0" borderId="0" xfId="1" applyNumberFormat="1" applyFont="1" applyFill="1" applyAlignment="1">
      <alignment vertical="center"/>
    </xf>
    <xf numFmtId="168" fontId="81" fillId="0" borderId="0" xfId="1" applyNumberFormat="1" applyFont="1" applyFill="1" applyAlignment="1">
      <alignment vertical="center"/>
    </xf>
    <xf numFmtId="164" fontId="81" fillId="0" borderId="0" xfId="1" applyFont="1" applyFill="1" applyAlignment="1">
      <alignment vertical="center"/>
    </xf>
    <xf numFmtId="0" fontId="79" fillId="0" borderId="0" xfId="0" applyFont="1" applyFill="1" applyBorder="1" applyAlignment="1">
      <alignment vertical="center"/>
    </xf>
    <xf numFmtId="0" fontId="79" fillId="0" borderId="4" xfId="0" applyFont="1" applyFill="1" applyBorder="1" applyAlignment="1">
      <alignment vertical="center"/>
    </xf>
    <xf numFmtId="0" fontId="77" fillId="0" borderId="9" xfId="0" applyFont="1" applyFill="1" applyBorder="1" applyAlignment="1">
      <alignment vertical="center"/>
    </xf>
    <xf numFmtId="0" fontId="77" fillId="0" borderId="0" xfId="0" applyFont="1" applyFill="1" applyBorder="1" applyAlignment="1">
      <alignment horizontal="center" vertical="center"/>
    </xf>
    <xf numFmtId="0" fontId="77" fillId="0" borderId="4" xfId="0" applyFont="1" applyFill="1" applyBorder="1" applyAlignment="1">
      <alignment vertical="center"/>
    </xf>
    <xf numFmtId="164" fontId="77" fillId="0" borderId="0" xfId="1" applyFont="1" applyFill="1" applyBorder="1" applyAlignment="1">
      <alignment vertical="center"/>
    </xf>
    <xf numFmtId="0" fontId="77" fillId="0" borderId="0" xfId="0" applyFont="1" applyFill="1" applyBorder="1" applyAlignment="1">
      <alignment vertical="center"/>
    </xf>
    <xf numFmtId="164" fontId="77" fillId="0" borderId="0" xfId="1" applyNumberFormat="1" applyFont="1" applyFill="1" applyBorder="1" applyAlignment="1">
      <alignment vertical="center"/>
    </xf>
    <xf numFmtId="168" fontId="78" fillId="0" borderId="2" xfId="1" quotePrefix="1" applyNumberFormat="1" applyFont="1" applyFill="1" applyBorder="1" applyAlignment="1">
      <alignment horizontal="center" vertical="center"/>
    </xf>
    <xf numFmtId="168" fontId="78" fillId="0" borderId="0" xfId="1" applyNumberFormat="1" applyFont="1" applyFill="1" applyBorder="1" applyAlignment="1">
      <alignment horizontal="center" vertical="center"/>
    </xf>
    <xf numFmtId="0" fontId="78" fillId="0" borderId="0" xfId="0" applyFont="1" applyFill="1" applyBorder="1" applyAlignment="1">
      <alignment horizontal="center" vertical="center"/>
    </xf>
    <xf numFmtId="168" fontId="78" fillId="0" borderId="0" xfId="1" applyNumberFormat="1" applyFont="1" applyFill="1" applyBorder="1" applyAlignment="1">
      <alignment vertical="center"/>
    </xf>
    <xf numFmtId="0" fontId="78" fillId="0" borderId="9" xfId="0" applyFont="1" applyFill="1" applyBorder="1" applyAlignment="1">
      <alignment vertical="center"/>
    </xf>
    <xf numFmtId="168" fontId="78" fillId="0" borderId="5" xfId="1" applyNumberFormat="1" applyFont="1" applyFill="1" applyBorder="1" applyAlignment="1">
      <alignment vertical="center"/>
    </xf>
    <xf numFmtId="0" fontId="78" fillId="0" borderId="4" xfId="0" applyFont="1" applyFill="1" applyBorder="1" applyAlignment="1">
      <alignment vertical="center"/>
    </xf>
    <xf numFmtId="164" fontId="78" fillId="0" borderId="0" xfId="1" applyFont="1" applyFill="1" applyBorder="1" applyAlignment="1">
      <alignment vertical="center"/>
    </xf>
    <xf numFmtId="0" fontId="78" fillId="0" borderId="0" xfId="0" applyFont="1" applyFill="1" applyBorder="1" applyAlignment="1">
      <alignment vertical="center"/>
    </xf>
    <xf numFmtId="168" fontId="77" fillId="0" borderId="1" xfId="1" applyNumberFormat="1" applyFont="1" applyFill="1" applyBorder="1" applyAlignment="1">
      <alignment vertical="center"/>
    </xf>
    <xf numFmtId="168" fontId="77" fillId="0" borderId="15" xfId="1" applyNumberFormat="1" applyFont="1" applyFill="1" applyBorder="1" applyAlignment="1">
      <alignment vertical="center"/>
    </xf>
    <xf numFmtId="168" fontId="77" fillId="0" borderId="16" xfId="1" applyNumberFormat="1" applyFont="1" applyFill="1" applyBorder="1" applyAlignment="1">
      <alignment vertical="center"/>
    </xf>
    <xf numFmtId="0" fontId="82" fillId="0" borderId="9" xfId="0" applyFont="1" applyFill="1" applyBorder="1" applyAlignment="1">
      <alignment vertical="center"/>
    </xf>
    <xf numFmtId="0" fontId="77" fillId="0" borderId="8" xfId="0" applyFont="1" applyFill="1" applyBorder="1" applyAlignment="1">
      <alignment vertical="center"/>
    </xf>
    <xf numFmtId="0" fontId="77" fillId="0" borderId="5" xfId="0" applyFont="1" applyFill="1" applyBorder="1" applyAlignment="1">
      <alignment horizontal="center" vertical="center"/>
    </xf>
    <xf numFmtId="168" fontId="77" fillId="0" borderId="5" xfId="1" applyNumberFormat="1" applyFont="1" applyFill="1" applyBorder="1" applyAlignment="1">
      <alignment vertical="center"/>
    </xf>
    <xf numFmtId="0" fontId="77" fillId="0" borderId="6" xfId="0" applyFont="1" applyFill="1" applyBorder="1" applyAlignment="1">
      <alignment vertical="center"/>
    </xf>
    <xf numFmtId="168" fontId="83" fillId="0" borderId="16" xfId="1" applyNumberFormat="1" applyFont="1" applyFill="1" applyBorder="1" applyAlignment="1">
      <alignment horizontal="right" vertical="top" wrapText="1"/>
    </xf>
    <xf numFmtId="168" fontId="83" fillId="0" borderId="1" xfId="1" applyNumberFormat="1" applyFont="1" applyFill="1" applyBorder="1" applyAlignment="1">
      <alignment horizontal="right" vertical="top" wrapText="1"/>
    </xf>
    <xf numFmtId="168" fontId="83" fillId="0" borderId="15" xfId="1" applyNumberFormat="1" applyFont="1" applyFill="1" applyBorder="1" applyAlignment="1">
      <alignment horizontal="right" vertical="top" wrapText="1"/>
    </xf>
    <xf numFmtId="0" fontId="83" fillId="0" borderId="12" xfId="0" applyFont="1" applyFill="1" applyBorder="1" applyAlignment="1"/>
    <xf numFmtId="166" fontId="84" fillId="0" borderId="13" xfId="0" applyNumberFormat="1" applyFont="1" applyFill="1" applyBorder="1" applyAlignment="1"/>
    <xf numFmtId="0" fontId="83" fillId="0" borderId="14" xfId="0" applyFont="1" applyFill="1" applyBorder="1" applyAlignment="1"/>
    <xf numFmtId="164" fontId="83" fillId="0" borderId="0" xfId="1" applyFont="1" applyFill="1" applyBorder="1" applyAlignment="1"/>
    <xf numFmtId="0" fontId="83" fillId="0" borderId="0" xfId="0" applyFont="1" applyFill="1" applyBorder="1" applyAlignment="1"/>
    <xf numFmtId="0" fontId="83" fillId="0" borderId="9" xfId="0" applyFont="1" applyFill="1" applyBorder="1" applyAlignment="1"/>
    <xf numFmtId="166" fontId="84" fillId="0" borderId="0" xfId="0" applyNumberFormat="1" applyFont="1" applyFill="1" applyBorder="1" applyAlignment="1"/>
    <xf numFmtId="0" fontId="83" fillId="0" borderId="4" xfId="0" applyFont="1" applyFill="1" applyBorder="1" applyAlignment="1"/>
    <xf numFmtId="166" fontId="84" fillId="0" borderId="0" xfId="0" quotePrefix="1" applyNumberFormat="1" applyFont="1" applyFill="1" applyBorder="1" applyAlignment="1"/>
    <xf numFmtId="0" fontId="83" fillId="0" borderId="0" xfId="0" applyFont="1" applyFill="1" applyBorder="1" applyAlignment="1">
      <alignment horizontal="center"/>
    </xf>
    <xf numFmtId="168" fontId="83" fillId="0" borderId="0" xfId="1" applyNumberFormat="1" applyFont="1" applyFill="1" applyBorder="1" applyAlignment="1"/>
    <xf numFmtId="168" fontId="83" fillId="0" borderId="0" xfId="0" applyNumberFormat="1" applyFont="1" applyFill="1" applyBorder="1" applyAlignment="1"/>
    <xf numFmtId="0" fontId="84" fillId="0" borderId="9" xfId="0" applyFont="1" applyFill="1" applyBorder="1" applyAlignment="1"/>
    <xf numFmtId="0" fontId="84" fillId="0" borderId="0" xfId="0" applyFont="1" applyFill="1" applyBorder="1" applyAlignment="1"/>
    <xf numFmtId="0" fontId="84" fillId="0" borderId="0" xfId="0" applyFont="1" applyFill="1" applyBorder="1" applyAlignment="1">
      <alignment horizontal="center"/>
    </xf>
    <xf numFmtId="0" fontId="84" fillId="0" borderId="4" xfId="0" applyFont="1" applyFill="1" applyBorder="1" applyAlignment="1"/>
    <xf numFmtId="164" fontId="84" fillId="0" borderId="0" xfId="1" applyFont="1" applyFill="1" applyBorder="1" applyAlignment="1"/>
    <xf numFmtId="168" fontId="84" fillId="0" borderId="2" xfId="1" quotePrefix="1" applyNumberFormat="1" applyFont="1" applyFill="1" applyBorder="1" applyAlignment="1">
      <alignment horizontal="center"/>
    </xf>
    <xf numFmtId="168" fontId="84" fillId="0" borderId="0" xfId="0" applyNumberFormat="1" applyFont="1" applyFill="1" applyBorder="1" applyAlignment="1"/>
    <xf numFmtId="168" fontId="84" fillId="0" borderId="0" xfId="1" applyNumberFormat="1" applyFont="1" applyFill="1" applyBorder="1" applyAlignment="1">
      <alignment horizontal="center"/>
    </xf>
    <xf numFmtId="168" fontId="84" fillId="0" borderId="0" xfId="1" applyNumberFormat="1" applyFont="1" applyFill="1" applyBorder="1" applyAlignment="1"/>
    <xf numFmtId="0" fontId="77" fillId="0" borderId="12" xfId="0" applyFont="1" applyFill="1" applyBorder="1" applyAlignment="1">
      <alignment vertical="top"/>
    </xf>
    <xf numFmtId="0" fontId="77" fillId="0" borderId="13" xfId="0" applyFont="1" applyFill="1" applyBorder="1" applyAlignment="1">
      <alignment horizontal="center"/>
    </xf>
    <xf numFmtId="0" fontId="77" fillId="0" borderId="9" xfId="0" applyFont="1" applyFill="1" applyBorder="1" applyAlignment="1">
      <alignment vertical="top"/>
    </xf>
    <xf numFmtId="0" fontId="77" fillId="0" borderId="0" xfId="0" applyFont="1" applyFill="1" applyBorder="1" applyAlignment="1">
      <alignment horizontal="center"/>
    </xf>
    <xf numFmtId="0" fontId="77" fillId="0" borderId="9" xfId="0" applyFont="1" applyFill="1" applyBorder="1" applyAlignment="1">
      <alignment horizontal="left" vertical="top" indent="2"/>
    </xf>
    <xf numFmtId="0" fontId="83" fillId="0" borderId="9" xfId="0" applyFont="1" applyFill="1" applyBorder="1" applyAlignment="1">
      <alignment vertical="top" wrapText="1"/>
    </xf>
    <xf numFmtId="0" fontId="83" fillId="0" borderId="0" xfId="0" applyFont="1" applyFill="1" applyBorder="1" applyAlignment="1">
      <alignment vertical="top" wrapText="1"/>
    </xf>
    <xf numFmtId="0" fontId="77" fillId="0" borderId="9" xfId="0" applyFont="1" applyFill="1" applyBorder="1" applyAlignment="1">
      <alignment vertical="top" wrapText="1"/>
    </xf>
    <xf numFmtId="0" fontId="77" fillId="0" borderId="0" xfId="0" applyFont="1" applyFill="1" applyBorder="1" applyAlignment="1">
      <alignment horizontal="center" vertical="top" wrapText="1"/>
    </xf>
    <xf numFmtId="0" fontId="83" fillId="0" borderId="4" xfId="0" applyFont="1" applyFill="1" applyBorder="1" applyAlignment="1">
      <alignment vertical="top" wrapText="1"/>
    </xf>
    <xf numFmtId="168" fontId="83" fillId="0" borderId="0" xfId="0" applyNumberFormat="1" applyFont="1" applyFill="1" applyBorder="1" applyAlignment="1">
      <alignment vertical="top" wrapText="1"/>
    </xf>
    <xf numFmtId="164" fontId="83" fillId="0" borderId="0" xfId="1" applyFont="1" applyFill="1" applyBorder="1" applyAlignment="1">
      <alignment vertical="top" wrapText="1"/>
    </xf>
    <xf numFmtId="0" fontId="84" fillId="0" borderId="43" xfId="0" applyFont="1" applyFill="1" applyBorder="1" applyAlignment="1">
      <alignment vertical="top"/>
    </xf>
    <xf numFmtId="0" fontId="84" fillId="0" borderId="10" xfId="0" applyFont="1" applyFill="1" applyBorder="1" applyAlignment="1">
      <alignment horizontal="center"/>
    </xf>
    <xf numFmtId="0" fontId="84" fillId="0" borderId="11" xfId="0" applyFont="1" applyFill="1" applyBorder="1" applyAlignment="1"/>
    <xf numFmtId="168" fontId="84" fillId="0" borderId="15" xfId="1" applyNumberFormat="1" applyFont="1" applyFill="1" applyBorder="1" applyAlignment="1">
      <alignment horizontal="right" vertical="top" wrapText="1"/>
    </xf>
    <xf numFmtId="168" fontId="84" fillId="0" borderId="0" xfId="0" applyNumberFormat="1" applyFont="1" applyFill="1" applyBorder="1" applyAlignment="1">
      <alignment vertical="top" wrapText="1"/>
    </xf>
    <xf numFmtId="0" fontId="84" fillId="0" borderId="0" xfId="0" applyFont="1" applyFill="1" applyBorder="1" applyAlignment="1">
      <alignment vertical="top"/>
    </xf>
    <xf numFmtId="168" fontId="84" fillId="0" borderId="0" xfId="1" applyNumberFormat="1" applyFont="1" applyFill="1" applyBorder="1" applyAlignment="1">
      <alignment horizontal="center" vertical="top" wrapText="1"/>
    </xf>
    <xf numFmtId="0" fontId="84" fillId="0" borderId="0" xfId="0" applyFont="1" applyFill="1" applyBorder="1" applyAlignment="1">
      <alignment horizontal="left" vertical="top"/>
    </xf>
    <xf numFmtId="168" fontId="83" fillId="0" borderId="0" xfId="1" applyNumberFormat="1" applyFont="1" applyFill="1" applyBorder="1" applyAlignment="1">
      <alignment vertical="top" wrapText="1"/>
    </xf>
    <xf numFmtId="0" fontId="83" fillId="0" borderId="0" xfId="0" applyFont="1" applyFill="1" applyBorder="1" applyAlignment="1">
      <alignment vertical="top"/>
    </xf>
    <xf numFmtId="0" fontId="77" fillId="0" borderId="14" xfId="0" applyFont="1" applyFill="1" applyBorder="1" applyAlignment="1">
      <alignment horizontal="center"/>
    </xf>
    <xf numFmtId="0" fontId="77" fillId="0" borderId="4" xfId="0" applyFont="1" applyFill="1" applyBorder="1" applyAlignment="1">
      <alignment horizontal="center"/>
    </xf>
    <xf numFmtId="0" fontId="84" fillId="0" borderId="11" xfId="0" applyFont="1" applyFill="1" applyBorder="1" applyAlignment="1">
      <alignment horizontal="center"/>
    </xf>
    <xf numFmtId="168" fontId="84" fillId="0" borderId="2" xfId="1" applyNumberFormat="1" applyFont="1" applyFill="1" applyBorder="1" applyAlignment="1">
      <alignment horizontal="right" vertical="top" wrapText="1"/>
    </xf>
    <xf numFmtId="0" fontId="84" fillId="0" borderId="12" xfId="0" applyFont="1" applyFill="1" applyBorder="1" applyAlignment="1">
      <alignment vertical="top"/>
    </xf>
    <xf numFmtId="0" fontId="84" fillId="0" borderId="14" xfId="0" applyFont="1" applyFill="1" applyBorder="1" applyAlignment="1">
      <alignment horizontal="center"/>
    </xf>
    <xf numFmtId="168" fontId="84" fillId="0" borderId="16" xfId="1" applyNumberFormat="1" applyFont="1" applyFill="1" applyBorder="1" applyAlignment="1">
      <alignment horizontal="right" vertical="top" wrapText="1"/>
    </xf>
    <xf numFmtId="0" fontId="84" fillId="0" borderId="8" xfId="0" applyFont="1" applyFill="1" applyBorder="1" applyAlignment="1">
      <alignment vertical="top"/>
    </xf>
    <xf numFmtId="0" fontId="84" fillId="0" borderId="6" xfId="0" applyFont="1" applyFill="1" applyBorder="1" applyAlignment="1">
      <alignment horizontal="center"/>
    </xf>
    <xf numFmtId="0" fontId="83" fillId="0" borderId="11" xfId="0" applyFont="1" applyFill="1" applyBorder="1" applyAlignment="1">
      <alignment horizontal="center"/>
    </xf>
    <xf numFmtId="0" fontId="83" fillId="0" borderId="8" xfId="0" applyFont="1" applyFill="1" applyBorder="1" applyAlignment="1"/>
    <xf numFmtId="0" fontId="83" fillId="0" borderId="5" xfId="0" applyFont="1" applyFill="1" applyBorder="1" applyAlignment="1"/>
    <xf numFmtId="0" fontId="83" fillId="0" borderId="5" xfId="0" applyFont="1" applyFill="1" applyBorder="1" applyAlignment="1">
      <alignment horizontal="center"/>
    </xf>
    <xf numFmtId="168" fontId="83" fillId="0" borderId="5" xfId="1" applyNumberFormat="1" applyFont="1" applyFill="1" applyBorder="1" applyAlignment="1"/>
    <xf numFmtId="168" fontId="83" fillId="0" borderId="5" xfId="0" applyNumberFormat="1" applyFont="1" applyFill="1" applyBorder="1" applyAlignment="1"/>
    <xf numFmtId="0" fontId="83" fillId="0" borderId="6" xfId="0" applyFont="1" applyFill="1" applyBorder="1" applyAlignment="1"/>
    <xf numFmtId="164" fontId="77" fillId="0" borderId="0" xfId="1" applyFont="1" applyFill="1" applyAlignment="1">
      <alignment vertical="center"/>
    </xf>
    <xf numFmtId="0" fontId="77" fillId="0" borderId="0" xfId="0" applyFont="1" applyFill="1" applyAlignment="1">
      <alignment vertical="center"/>
    </xf>
    <xf numFmtId="168" fontId="78" fillId="0" borderId="9" xfId="1" applyNumberFormat="1" applyFont="1" applyFill="1" applyBorder="1" applyAlignment="1">
      <alignment horizontal="center" vertical="center"/>
    </xf>
    <xf numFmtId="0" fontId="78" fillId="0" borderId="4" xfId="0" applyFont="1" applyFill="1" applyBorder="1" applyAlignment="1">
      <alignment horizontal="center" vertical="center"/>
    </xf>
    <xf numFmtId="164" fontId="78" fillId="0" borderId="0" xfId="1" applyFont="1" applyFill="1" applyAlignment="1">
      <alignment horizontal="left" vertical="center"/>
    </xf>
    <xf numFmtId="164" fontId="78" fillId="0" borderId="0" xfId="1" applyFont="1" applyFill="1" applyAlignment="1">
      <alignment horizontal="center" vertical="center"/>
    </xf>
    <xf numFmtId="0" fontId="78" fillId="0" borderId="0" xfId="0" applyFont="1" applyFill="1" applyAlignment="1">
      <alignment horizontal="center" vertical="center"/>
    </xf>
    <xf numFmtId="164" fontId="77" fillId="0" borderId="0" xfId="1" applyFont="1" applyFill="1" applyAlignment="1">
      <alignment horizontal="left" vertical="center"/>
    </xf>
    <xf numFmtId="168" fontId="78" fillId="0" borderId="9" xfId="1" quotePrefix="1" applyNumberFormat="1" applyFont="1" applyFill="1" applyBorder="1" applyAlignment="1">
      <alignment horizontal="center" vertical="center"/>
    </xf>
    <xf numFmtId="164" fontId="78" fillId="0" borderId="0" xfId="1" applyFont="1" applyFill="1" applyAlignment="1">
      <alignment vertical="center"/>
    </xf>
    <xf numFmtId="0" fontId="78" fillId="0" borderId="0" xfId="0" applyFont="1" applyFill="1" applyAlignment="1">
      <alignment vertical="center"/>
    </xf>
    <xf numFmtId="0" fontId="78" fillId="0" borderId="0" xfId="0" quotePrefix="1" applyFont="1" applyFill="1" applyBorder="1" applyAlignment="1">
      <alignment vertical="center"/>
    </xf>
    <xf numFmtId="0" fontId="77" fillId="0" borderId="0" xfId="0" quotePrefix="1" applyFont="1" applyFill="1" applyBorder="1" applyAlignment="1">
      <alignment vertical="center"/>
    </xf>
    <xf numFmtId="168" fontId="77" fillId="0" borderId="10" xfId="1" applyNumberFormat="1" applyFont="1" applyFill="1" applyBorder="1" applyAlignment="1">
      <alignment vertical="center"/>
    </xf>
    <xf numFmtId="43" fontId="77" fillId="0" borderId="0" xfId="0" applyNumberFormat="1" applyFont="1" applyFill="1" applyAlignment="1">
      <alignment vertical="center"/>
    </xf>
    <xf numFmtId="168" fontId="78" fillId="0" borderId="12" xfId="1" applyNumberFormat="1" applyFont="1" applyFill="1" applyBorder="1" applyAlignment="1">
      <alignment horizontal="center" vertical="center"/>
    </xf>
    <xf numFmtId="0" fontId="77" fillId="0" borderId="13" xfId="0" applyFont="1" applyFill="1" applyBorder="1" applyAlignment="1">
      <alignment vertical="center"/>
    </xf>
    <xf numFmtId="168" fontId="77" fillId="0" borderId="13" xfId="1" applyNumberFormat="1" applyFont="1" applyFill="1" applyBorder="1" applyAlignment="1">
      <alignment vertical="center"/>
    </xf>
    <xf numFmtId="0" fontId="77" fillId="0" borderId="14" xfId="0" applyFont="1" applyFill="1" applyBorder="1" applyAlignment="1">
      <alignment vertical="center"/>
    </xf>
    <xf numFmtId="168" fontId="78" fillId="0" borderId="4" xfId="0" applyNumberFormat="1" applyFont="1" applyFill="1" applyBorder="1" applyAlignment="1">
      <alignment vertical="center"/>
    </xf>
    <xf numFmtId="0" fontId="78" fillId="0" borderId="12" xfId="0" applyFont="1" applyFill="1" applyBorder="1" applyAlignment="1">
      <alignment vertical="center"/>
    </xf>
    <xf numFmtId="168" fontId="78" fillId="0" borderId="13" xfId="1" applyNumberFormat="1" applyFont="1" applyFill="1" applyBorder="1" applyAlignment="1">
      <alignment vertical="center"/>
    </xf>
    <xf numFmtId="168" fontId="78" fillId="0" borderId="14" xfId="1" applyNumberFormat="1" applyFont="1" applyFill="1" applyBorder="1" applyAlignment="1">
      <alignment vertical="center"/>
    </xf>
    <xf numFmtId="168" fontId="78" fillId="0" borderId="12" xfId="1" applyNumberFormat="1" applyFont="1" applyFill="1" applyBorder="1" applyAlignment="1">
      <alignment vertical="center"/>
    </xf>
    <xf numFmtId="0" fontId="78" fillId="0" borderId="14" xfId="0" applyFont="1" applyFill="1" applyBorder="1" applyAlignment="1">
      <alignment vertical="center"/>
    </xf>
    <xf numFmtId="0" fontId="77" fillId="0" borderId="0" xfId="0" applyFont="1" applyFill="1" applyBorder="1" applyAlignment="1">
      <alignment horizontal="left" vertical="center"/>
    </xf>
    <xf numFmtId="168" fontId="77" fillId="0" borderId="4" xfId="1" applyNumberFormat="1" applyFont="1" applyFill="1" applyBorder="1" applyAlignment="1">
      <alignment vertical="center"/>
    </xf>
    <xf numFmtId="168" fontId="77" fillId="0" borderId="9" xfId="1" applyNumberFormat="1" applyFont="1" applyFill="1" applyBorder="1" applyAlignment="1">
      <alignment vertical="center"/>
    </xf>
    <xf numFmtId="168" fontId="77" fillId="0" borderId="6" xfId="1" applyNumberFormat="1" applyFont="1" applyFill="1" applyBorder="1" applyAlignment="1">
      <alignment vertical="center"/>
    </xf>
    <xf numFmtId="168" fontId="77" fillId="0" borderId="8" xfId="1" applyNumberFormat="1" applyFont="1" applyFill="1" applyBorder="1" applyAlignment="1">
      <alignment vertical="center"/>
    </xf>
    <xf numFmtId="0" fontId="78" fillId="0" borderId="0" xfId="0" applyFont="1" applyFill="1" applyBorder="1" applyAlignment="1">
      <alignment vertical="center" wrapText="1"/>
    </xf>
    <xf numFmtId="0" fontId="77" fillId="0" borderId="12" xfId="0" applyFont="1" applyFill="1" applyBorder="1" applyAlignment="1">
      <alignment vertical="center"/>
    </xf>
    <xf numFmtId="0" fontId="77" fillId="0" borderId="0" xfId="0" applyFont="1" applyFill="1" applyBorder="1" applyAlignment="1">
      <alignment vertical="center" wrapText="1"/>
    </xf>
    <xf numFmtId="0" fontId="77" fillId="0" borderId="5" xfId="0" applyFont="1" applyFill="1" applyBorder="1" applyAlignment="1">
      <alignment vertical="center"/>
    </xf>
    <xf numFmtId="168" fontId="78" fillId="0" borderId="4" xfId="1" applyNumberFormat="1" applyFont="1" applyFill="1" applyBorder="1" applyAlignment="1">
      <alignment vertical="center"/>
    </xf>
    <xf numFmtId="168" fontId="78" fillId="0" borderId="9" xfId="1" applyNumberFormat="1" applyFont="1" applyFill="1" applyBorder="1" applyAlignment="1">
      <alignment vertical="center"/>
    </xf>
    <xf numFmtId="168" fontId="78" fillId="0" borderId="8" xfId="1" applyNumberFormat="1" applyFont="1" applyFill="1" applyBorder="1" applyAlignment="1">
      <alignment horizontal="center" vertical="center"/>
    </xf>
    <xf numFmtId="168" fontId="78" fillId="0" borderId="7" xfId="1" applyNumberFormat="1" applyFont="1" applyFill="1" applyBorder="1" applyAlignment="1">
      <alignment vertical="center"/>
    </xf>
    <xf numFmtId="168" fontId="77" fillId="0" borderId="14" xfId="1" applyNumberFormat="1" applyFont="1" applyFill="1" applyBorder="1" applyAlignment="1">
      <alignment vertical="center"/>
    </xf>
    <xf numFmtId="168" fontId="77" fillId="0" borderId="12" xfId="1" applyNumberFormat="1" applyFont="1" applyFill="1" applyBorder="1" applyAlignment="1">
      <alignment vertical="center"/>
    </xf>
    <xf numFmtId="168" fontId="78" fillId="0" borderId="2" xfId="1" applyNumberFormat="1" applyFont="1" applyFill="1" applyBorder="1" applyAlignment="1">
      <alignment vertical="center"/>
    </xf>
    <xf numFmtId="0" fontId="77" fillId="0" borderId="0" xfId="0" applyFont="1" applyFill="1" applyBorder="1" applyAlignment="1">
      <alignment horizontal="justify" vertical="center" wrapText="1"/>
    </xf>
    <xf numFmtId="0" fontId="77" fillId="0" borderId="0" xfId="0" applyFont="1" applyFill="1" applyBorder="1" applyAlignment="1">
      <alignment horizontal="left" vertical="center" wrapText="1"/>
    </xf>
    <xf numFmtId="168" fontId="77" fillId="0" borderId="0" xfId="1" applyNumberFormat="1" applyFont="1" applyFill="1" applyBorder="1" applyAlignment="1">
      <alignment horizontal="left" vertical="center" wrapText="1"/>
    </xf>
    <xf numFmtId="168" fontId="77" fillId="0" borderId="2" xfId="1" applyNumberFormat="1" applyFont="1" applyFill="1" applyBorder="1" applyAlignment="1">
      <alignment vertical="center"/>
    </xf>
    <xf numFmtId="168" fontId="77" fillId="0" borderId="0" xfId="1" applyNumberFormat="1" applyFont="1" applyFill="1" applyBorder="1" applyAlignment="1">
      <alignment vertical="center" wrapText="1"/>
    </xf>
    <xf numFmtId="168" fontId="77" fillId="0" borderId="16" xfId="1" applyNumberFormat="1" applyFont="1" applyFill="1" applyBorder="1" applyAlignment="1">
      <alignment vertical="center" wrapText="1"/>
    </xf>
    <xf numFmtId="168" fontId="77" fillId="0" borderId="1" xfId="1" applyNumberFormat="1" applyFont="1" applyFill="1" applyBorder="1" applyAlignment="1">
      <alignment vertical="center" wrapText="1"/>
    </xf>
    <xf numFmtId="168" fontId="77" fillId="0" borderId="15" xfId="1" applyNumberFormat="1" applyFont="1" applyFill="1" applyBorder="1" applyAlignment="1">
      <alignment vertical="center" wrapText="1"/>
    </xf>
    <xf numFmtId="0" fontId="82" fillId="0" borderId="0" xfId="0" applyFont="1" applyFill="1" applyBorder="1" applyAlignment="1">
      <alignment vertical="center" wrapText="1"/>
    </xf>
    <xf numFmtId="168" fontId="78" fillId="0" borderId="7" xfId="1" applyNumberFormat="1" applyFont="1" applyFill="1" applyBorder="1" applyAlignment="1">
      <alignment vertical="center" wrapText="1"/>
    </xf>
    <xf numFmtId="168" fontId="77" fillId="0" borderId="2" xfId="1" applyNumberFormat="1" applyFont="1" applyFill="1" applyBorder="1" applyAlignment="1">
      <alignment vertical="center" wrapText="1"/>
    </xf>
    <xf numFmtId="0" fontId="77" fillId="0" borderId="1" xfId="0" applyFont="1" applyFill="1" applyBorder="1" applyAlignment="1">
      <alignment vertical="center"/>
    </xf>
    <xf numFmtId="168" fontId="78" fillId="0" borderId="15" xfId="1" applyNumberFormat="1" applyFont="1" applyFill="1" applyBorder="1" applyAlignment="1">
      <alignment vertical="center"/>
    </xf>
    <xf numFmtId="168" fontId="78" fillId="0" borderId="0" xfId="1" applyNumberFormat="1" applyFont="1" applyFill="1" applyAlignment="1">
      <alignment horizontal="center" vertical="center"/>
    </xf>
    <xf numFmtId="168" fontId="77" fillId="0" borderId="0" xfId="1" applyNumberFormat="1" applyFont="1" applyFill="1" applyAlignment="1">
      <alignment vertical="center"/>
    </xf>
    <xf numFmtId="164" fontId="77" fillId="0" borderId="0" xfId="1" applyFont="1" applyFill="1" applyBorder="1" applyAlignment="1"/>
    <xf numFmtId="164" fontId="77" fillId="0" borderId="0" xfId="1" applyFont="1" applyFill="1" applyAlignment="1"/>
    <xf numFmtId="0" fontId="77" fillId="0" borderId="0" xfId="0" applyFont="1" applyFill="1" applyAlignment="1"/>
    <xf numFmtId="168" fontId="78" fillId="0" borderId="0" xfId="1" applyNumberFormat="1" applyFont="1" applyFill="1" applyBorder="1" applyAlignment="1">
      <alignment horizontal="left"/>
    </xf>
    <xf numFmtId="0" fontId="77" fillId="0" borderId="0" xfId="0" applyFont="1" applyFill="1" applyBorder="1" applyAlignment="1"/>
    <xf numFmtId="168" fontId="77" fillId="0" borderId="0" xfId="1" applyNumberFormat="1" applyFont="1" applyFill="1" applyBorder="1" applyAlignment="1"/>
    <xf numFmtId="0" fontId="78" fillId="0" borderId="12" xfId="0" applyFont="1" applyFill="1" applyBorder="1" applyAlignment="1">
      <alignment horizontal="center"/>
    </xf>
    <xf numFmtId="0" fontId="77" fillId="0" borderId="13" xfId="0" applyFont="1" applyFill="1" applyBorder="1" applyAlignment="1"/>
    <xf numFmtId="168" fontId="77" fillId="0" borderId="13" xfId="1" applyNumberFormat="1" applyFont="1" applyFill="1" applyBorder="1" applyAlignment="1"/>
    <xf numFmtId="0" fontId="77" fillId="0" borderId="14" xfId="0" applyFont="1" applyFill="1" applyBorder="1" applyAlignment="1"/>
    <xf numFmtId="0" fontId="78" fillId="0" borderId="9" xfId="0" applyFont="1" applyFill="1" applyBorder="1" applyAlignment="1">
      <alignment horizontal="center"/>
    </xf>
    <xf numFmtId="0" fontId="78" fillId="0" borderId="0" xfId="0" applyFont="1" applyFill="1" applyBorder="1" applyAlignment="1">
      <alignment horizontal="center"/>
    </xf>
    <xf numFmtId="168" fontId="78" fillId="0" borderId="2" xfId="1" quotePrefix="1" applyNumberFormat="1" applyFont="1" applyFill="1" applyBorder="1" applyAlignment="1">
      <alignment horizontal="center"/>
    </xf>
    <xf numFmtId="0" fontId="78" fillId="0" borderId="4" xfId="0" applyFont="1" applyFill="1" applyBorder="1" applyAlignment="1">
      <alignment horizontal="center"/>
    </xf>
    <xf numFmtId="164" fontId="78" fillId="0" borderId="0" xfId="1" applyFont="1" applyFill="1" applyBorder="1" applyAlignment="1">
      <alignment horizontal="center"/>
    </xf>
    <xf numFmtId="164" fontId="78" fillId="0" borderId="0" xfId="1" applyFont="1" applyFill="1" applyAlignment="1">
      <alignment horizontal="center"/>
    </xf>
    <xf numFmtId="0" fontId="78" fillId="0" borderId="0" xfId="0" applyFont="1" applyFill="1" applyAlignment="1">
      <alignment horizontal="center"/>
    </xf>
    <xf numFmtId="168" fontId="78" fillId="0" borderId="0" xfId="1" applyNumberFormat="1" applyFont="1" applyFill="1" applyBorder="1" applyAlignment="1">
      <alignment horizontal="center"/>
    </xf>
    <xf numFmtId="0" fontId="77" fillId="0" borderId="4" xfId="0" applyFont="1" applyFill="1" applyBorder="1" applyAlignment="1"/>
    <xf numFmtId="0" fontId="78" fillId="0" borderId="9" xfId="0" quotePrefix="1" applyFont="1" applyFill="1" applyBorder="1" applyAlignment="1">
      <alignment horizontal="center"/>
    </xf>
    <xf numFmtId="0" fontId="78" fillId="0" borderId="0" xfId="0" applyFont="1" applyFill="1" applyBorder="1" applyAlignment="1">
      <alignment vertical="top" wrapText="1"/>
    </xf>
    <xf numFmtId="0" fontId="78" fillId="0" borderId="0" xfId="0" applyFont="1" applyFill="1" applyBorder="1" applyAlignment="1"/>
    <xf numFmtId="0" fontId="78" fillId="0" borderId="4" xfId="0" applyFont="1" applyFill="1" applyBorder="1" applyAlignment="1"/>
    <xf numFmtId="164" fontId="78" fillId="0" borderId="0" xfId="1" applyFont="1" applyFill="1" applyBorder="1" applyAlignment="1"/>
    <xf numFmtId="164" fontId="78" fillId="0" borderId="0" xfId="1" applyFont="1" applyFill="1" applyAlignment="1"/>
    <xf numFmtId="0" fontId="78" fillId="0" borderId="0" xfId="0" applyFont="1" applyFill="1" applyAlignment="1"/>
    <xf numFmtId="168" fontId="78" fillId="0" borderId="0" xfId="1" applyNumberFormat="1" applyFont="1" applyFill="1" applyBorder="1" applyAlignment="1"/>
    <xf numFmtId="0" fontId="77" fillId="0" borderId="0" xfId="0" applyFont="1" applyFill="1" applyBorder="1" applyAlignment="1">
      <alignment horizontal="left" vertical="top" wrapText="1" indent="2"/>
    </xf>
    <xf numFmtId="168" fontId="77" fillId="0" borderId="16" xfId="1" applyNumberFormat="1" applyFont="1" applyFill="1" applyBorder="1" applyAlignment="1"/>
    <xf numFmtId="168" fontId="77" fillId="0" borderId="15" xfId="1" applyNumberFormat="1" applyFont="1" applyFill="1" applyBorder="1" applyAlignment="1"/>
    <xf numFmtId="0" fontId="77" fillId="0" borderId="0" xfId="0" applyFont="1" applyFill="1" applyBorder="1" applyAlignment="1">
      <alignment vertical="top" wrapText="1"/>
    </xf>
    <xf numFmtId="168" fontId="77" fillId="0" borderId="2" xfId="1" applyNumberFormat="1" applyFont="1" applyFill="1" applyBorder="1" applyAlignment="1"/>
    <xf numFmtId="168" fontId="78" fillId="0" borderId="16" xfId="1" applyNumberFormat="1" applyFont="1" applyFill="1" applyBorder="1" applyAlignment="1"/>
    <xf numFmtId="168" fontId="78" fillId="0" borderId="1" xfId="1" applyNumberFormat="1" applyFont="1" applyFill="1" applyBorder="1" applyAlignment="1"/>
    <xf numFmtId="168" fontId="78" fillId="0" borderId="15" xfId="1" applyNumberFormat="1" applyFont="1" applyFill="1" applyBorder="1" applyAlignment="1"/>
    <xf numFmtId="10" fontId="77" fillId="0" borderId="0" xfId="5" applyNumberFormat="1" applyFont="1" applyFill="1" applyBorder="1" applyAlignment="1"/>
    <xf numFmtId="0" fontId="77" fillId="0" borderId="0" xfId="0" applyFont="1" applyFill="1" applyBorder="1" applyAlignment="1">
      <alignment horizontal="justify" vertical="justify" wrapText="1"/>
    </xf>
    <xf numFmtId="0" fontId="78" fillId="0" borderId="8" xfId="0" applyFont="1" applyFill="1" applyBorder="1" applyAlignment="1">
      <alignment horizontal="center"/>
    </xf>
    <xf numFmtId="0" fontId="77" fillId="0" borderId="5" xfId="0" applyFont="1" applyFill="1" applyBorder="1" applyAlignment="1"/>
    <xf numFmtId="168" fontId="77" fillId="0" borderId="5" xfId="1" applyNumberFormat="1" applyFont="1" applyFill="1" applyBorder="1" applyAlignment="1"/>
    <xf numFmtId="0" fontId="77" fillId="0" borderId="6" xfId="0" applyFont="1" applyFill="1" applyBorder="1" applyAlignment="1"/>
    <xf numFmtId="0" fontId="77" fillId="0" borderId="9" xfId="0" applyFont="1" applyFill="1" applyBorder="1" applyAlignment="1">
      <alignment horizontal="center"/>
    </xf>
    <xf numFmtId="0" fontId="78" fillId="0" borderId="2" xfId="1" quotePrefix="1" applyNumberFormat="1" applyFont="1" applyFill="1" applyBorder="1" applyAlignment="1">
      <alignment horizontal="center"/>
    </xf>
    <xf numFmtId="0" fontId="78" fillId="0" borderId="0" xfId="0" applyNumberFormat="1" applyFont="1" applyFill="1" applyBorder="1" applyAlignment="1">
      <alignment horizontal="center"/>
    </xf>
    <xf numFmtId="0" fontId="78" fillId="0" borderId="9" xfId="0" applyFont="1" applyFill="1" applyBorder="1" applyAlignment="1">
      <alignment horizontal="center" wrapText="1"/>
    </xf>
    <xf numFmtId="0" fontId="83" fillId="0" borderId="0" xfId="0" applyFont="1" applyFill="1" applyBorder="1" applyAlignment="1">
      <alignment wrapText="1"/>
    </xf>
    <xf numFmtId="0" fontId="77" fillId="0" borderId="4" xfId="0" applyFont="1" applyFill="1" applyBorder="1" applyAlignment="1">
      <alignment wrapText="1"/>
    </xf>
    <xf numFmtId="164" fontId="77" fillId="0" borderId="0" xfId="1" applyFont="1" applyFill="1" applyBorder="1" applyAlignment="1">
      <alignment wrapText="1"/>
    </xf>
    <xf numFmtId="164" fontId="77" fillId="0" borderId="0" xfId="1" applyFont="1" applyFill="1" applyAlignment="1">
      <alignment wrapText="1"/>
    </xf>
    <xf numFmtId="0" fontId="77" fillId="0" borderId="0" xfId="0" applyFont="1" applyFill="1" applyAlignment="1">
      <alignment wrapText="1"/>
    </xf>
    <xf numFmtId="168" fontId="77" fillId="0" borderId="0" xfId="1" applyNumberFormat="1" applyFont="1" applyFill="1" applyAlignment="1"/>
    <xf numFmtId="164" fontId="77" fillId="0" borderId="0" xfId="1" applyFont="1" applyFill="1"/>
    <xf numFmtId="0" fontId="77" fillId="0" borderId="0" xfId="0" applyFont="1" applyFill="1"/>
    <xf numFmtId="164" fontId="77" fillId="0" borderId="0" xfId="1" applyFont="1" applyFill="1" applyBorder="1"/>
    <xf numFmtId="164" fontId="78" fillId="0" borderId="0" xfId="1" applyFont="1" applyFill="1"/>
    <xf numFmtId="0" fontId="78" fillId="0" borderId="0" xfId="0" applyFont="1" applyFill="1"/>
    <xf numFmtId="164" fontId="78" fillId="0" borderId="2" xfId="1" quotePrefix="1" applyFont="1" applyFill="1" applyBorder="1" applyAlignment="1">
      <alignment horizontal="center"/>
    </xf>
    <xf numFmtId="0" fontId="78" fillId="0" borderId="9" xfId="0" applyFont="1" applyFill="1" applyBorder="1" applyAlignment="1">
      <alignment horizontal="justify" vertical="justify"/>
    </xf>
    <xf numFmtId="164" fontId="77" fillId="0" borderId="0" xfId="1" applyFont="1" applyFill="1" applyAlignment="1">
      <alignment horizontal="justify" vertical="justify"/>
    </xf>
    <xf numFmtId="0" fontId="77" fillId="0" borderId="0" xfId="0" applyFont="1" applyFill="1" applyAlignment="1">
      <alignment horizontal="justify" vertical="justify"/>
    </xf>
    <xf numFmtId="168" fontId="78" fillId="0" borderId="0" xfId="1" applyNumberFormat="1" applyFont="1" applyFill="1" applyAlignment="1">
      <alignment horizontal="center"/>
    </xf>
    <xf numFmtId="168" fontId="78" fillId="0" borderId="0" xfId="1" applyNumberFormat="1" applyFont="1" applyFill="1" applyAlignment="1"/>
    <xf numFmtId="0" fontId="81" fillId="0" borderId="0" xfId="0" applyFont="1" applyFill="1"/>
    <xf numFmtId="0" fontId="0" fillId="0" borderId="0" xfId="0" applyFont="1" applyFill="1"/>
    <xf numFmtId="168" fontId="77" fillId="0" borderId="0" xfId="0" applyNumberFormat="1" applyFont="1" applyFill="1" applyAlignment="1"/>
    <xf numFmtId="168" fontId="77" fillId="0" borderId="0" xfId="1" applyNumberFormat="1" applyFont="1" applyFill="1" applyBorder="1" applyAlignment="1">
      <alignment horizontal="justify" vertical="justify" wrapText="1"/>
    </xf>
    <xf numFmtId="0" fontId="77" fillId="0" borderId="4" xfId="0" applyFont="1" applyFill="1" applyBorder="1" applyAlignment="1">
      <alignment horizontal="justify" vertical="justify" wrapText="1"/>
    </xf>
    <xf numFmtId="168" fontId="77" fillId="0" borderId="0" xfId="1" applyNumberFormat="1" applyFont="1" applyFill="1" applyAlignment="1">
      <alignment horizontal="justify" vertical="justify"/>
    </xf>
    <xf numFmtId="0" fontId="0" fillId="0" borderId="13" xfId="0" applyFont="1" applyFill="1" applyBorder="1"/>
    <xf numFmtId="164" fontId="81" fillId="0" borderId="13" xfId="1" applyFont="1" applyFill="1" applyBorder="1"/>
    <xf numFmtId="168" fontId="81" fillId="0" borderId="13" xfId="1" applyNumberFormat="1" applyFont="1" applyFill="1" applyBorder="1"/>
    <xf numFmtId="0" fontId="77" fillId="0" borderId="9" xfId="0" applyFont="1" applyFill="1" applyBorder="1" applyAlignment="1"/>
    <xf numFmtId="0" fontId="0" fillId="0" borderId="0" xfId="0" applyFont="1" applyFill="1" applyBorder="1"/>
    <xf numFmtId="164" fontId="81" fillId="0" borderId="0" xfId="1" applyFont="1" applyFill="1" applyBorder="1"/>
    <xf numFmtId="168" fontId="81" fillId="0" borderId="0" xfId="1" applyNumberFormat="1" applyFont="1" applyFill="1" applyBorder="1"/>
    <xf numFmtId="164" fontId="79" fillId="0" borderId="44" xfId="1" applyFont="1" applyFill="1" applyBorder="1"/>
    <xf numFmtId="168" fontId="79" fillId="0" borderId="44" xfId="1" applyNumberFormat="1" applyFont="1" applyFill="1" applyBorder="1"/>
    <xf numFmtId="0" fontId="0" fillId="0" borderId="9" xfId="0" applyFont="1" applyFill="1" applyBorder="1"/>
    <xf numFmtId="0" fontId="0" fillId="0" borderId="8" xfId="0" applyFont="1" applyFill="1" applyBorder="1"/>
    <xf numFmtId="0" fontId="0" fillId="0" borderId="5" xfId="0" applyFont="1" applyFill="1" applyBorder="1"/>
    <xf numFmtId="164" fontId="81" fillId="0" borderId="5" xfId="1" applyFont="1" applyFill="1" applyBorder="1"/>
    <xf numFmtId="168" fontId="81" fillId="0" borderId="5" xfId="1" applyNumberFormat="1" applyFont="1" applyFill="1" applyBorder="1"/>
    <xf numFmtId="0" fontId="0" fillId="0" borderId="12" xfId="0" applyFont="1" applyFill="1" applyBorder="1"/>
    <xf numFmtId="0" fontId="77" fillId="0" borderId="0" xfId="0" applyFont="1" applyFill="1" applyBorder="1"/>
    <xf numFmtId="168" fontId="77" fillId="0" borderId="0" xfId="1" applyNumberFormat="1" applyFont="1" applyFill="1" applyBorder="1"/>
    <xf numFmtId="0" fontId="85" fillId="0" borderId="9" xfId="0" applyFont="1" applyFill="1" applyBorder="1" applyAlignment="1">
      <alignment vertical="center" wrapText="1"/>
    </xf>
    <xf numFmtId="168" fontId="85" fillId="0" borderId="0" xfId="1" applyNumberFormat="1" applyFont="1" applyFill="1" applyBorder="1" applyAlignment="1">
      <alignment vertical="center" wrapText="1"/>
    </xf>
    <xf numFmtId="164" fontId="85" fillId="0" borderId="0" xfId="1" applyFont="1" applyFill="1" applyBorder="1" applyAlignment="1">
      <alignment vertical="center" wrapText="1"/>
    </xf>
    <xf numFmtId="0" fontId="86" fillId="0" borderId="9" xfId="0" applyFont="1" applyFill="1" applyBorder="1" applyAlignment="1">
      <alignment horizontal="center" vertical="center" wrapText="1"/>
    </xf>
    <xf numFmtId="168" fontId="86" fillId="0" borderId="0" xfId="1" applyNumberFormat="1" applyFont="1" applyFill="1" applyBorder="1" applyAlignment="1">
      <alignment horizontal="center" vertical="center" wrapText="1"/>
    </xf>
    <xf numFmtId="0" fontId="86" fillId="0" borderId="0" xfId="0" applyFont="1" applyFill="1" applyBorder="1" applyAlignment="1">
      <alignment horizontal="center" vertical="center" wrapText="1"/>
    </xf>
    <xf numFmtId="0" fontId="86" fillId="0" borderId="4" xfId="0" applyFont="1" applyFill="1" applyBorder="1" applyAlignment="1">
      <alignment vertical="center" wrapText="1"/>
    </xf>
    <xf numFmtId="164" fontId="86" fillId="0" borderId="0" xfId="1" applyFont="1" applyFill="1" applyBorder="1" applyAlignment="1">
      <alignment vertical="center" wrapText="1"/>
    </xf>
    <xf numFmtId="168" fontId="85" fillId="0" borderId="2" xfId="1" applyNumberFormat="1" applyFont="1" applyFill="1" applyBorder="1" applyAlignment="1">
      <alignment horizontal="center" vertical="center" wrapText="1"/>
    </xf>
    <xf numFmtId="168" fontId="85" fillId="0" borderId="2" xfId="1" applyNumberFormat="1" applyFont="1" applyFill="1" applyBorder="1" applyAlignment="1">
      <alignment vertical="center" wrapText="1"/>
    </xf>
    <xf numFmtId="0" fontId="85" fillId="0" borderId="2" xfId="0" applyFont="1" applyFill="1" applyBorder="1" applyAlignment="1">
      <alignment horizontal="center" vertical="center" wrapText="1"/>
    </xf>
    <xf numFmtId="0" fontId="85" fillId="0" borderId="9" xfId="0" applyFont="1" applyFill="1" applyBorder="1" applyAlignment="1">
      <alignment horizontal="center" vertical="center" wrapText="1"/>
    </xf>
    <xf numFmtId="168" fontId="85" fillId="0" borderId="0" xfId="1" applyNumberFormat="1" applyFont="1" applyFill="1" applyBorder="1" applyAlignment="1">
      <alignment horizontal="center" vertical="center" wrapText="1"/>
    </xf>
    <xf numFmtId="0" fontId="85" fillId="0" borderId="4" xfId="0" applyFont="1" applyFill="1" applyBorder="1" applyAlignment="1">
      <alignment horizontal="center" vertical="center" wrapText="1"/>
    </xf>
    <xf numFmtId="164" fontId="85" fillId="0" borderId="0" xfId="1" applyFont="1" applyFill="1" applyBorder="1" applyAlignment="1">
      <alignment horizontal="center" vertical="center" wrapText="1"/>
    </xf>
    <xf numFmtId="168" fontId="85" fillId="0" borderId="0" xfId="1" applyNumberFormat="1" applyFont="1" applyFill="1" applyBorder="1" applyAlignment="1">
      <alignment horizontal="right" vertical="center" wrapText="1"/>
    </xf>
    <xf numFmtId="168" fontId="85" fillId="0" borderId="4" xfId="1" applyNumberFormat="1" applyFont="1" applyFill="1" applyBorder="1" applyAlignment="1">
      <alignment horizontal="right" vertical="center" wrapText="1"/>
    </xf>
    <xf numFmtId="164" fontId="85" fillId="0" borderId="0" xfId="1" applyFont="1" applyFill="1" applyBorder="1" applyAlignment="1">
      <alignment horizontal="right" vertical="center" wrapText="1"/>
    </xf>
    <xf numFmtId="0" fontId="87" fillId="0" borderId="9" xfId="0" applyFont="1" applyFill="1" applyBorder="1" applyAlignment="1">
      <alignment vertical="center" wrapText="1"/>
    </xf>
    <xf numFmtId="168" fontId="87" fillId="0" borderId="16" xfId="1" applyNumberFormat="1" applyFont="1" applyFill="1" applyBorder="1" applyAlignment="1">
      <alignment horizontal="right" vertical="center" wrapText="1"/>
    </xf>
    <xf numFmtId="168" fontId="87" fillId="0" borderId="0" xfId="1" applyNumberFormat="1" applyFont="1" applyFill="1" applyBorder="1" applyAlignment="1">
      <alignment horizontal="right" vertical="center" wrapText="1"/>
    </xf>
    <xf numFmtId="168" fontId="87" fillId="0" borderId="16" xfId="1" applyNumberFormat="1" applyFont="1" applyFill="1" applyBorder="1" applyAlignment="1">
      <alignment vertical="center" wrapText="1"/>
    </xf>
    <xf numFmtId="3" fontId="87" fillId="0" borderId="16" xfId="0" applyNumberFormat="1" applyFont="1" applyFill="1" applyBorder="1" applyAlignment="1">
      <alignment horizontal="right" vertical="center" wrapText="1"/>
    </xf>
    <xf numFmtId="164" fontId="87" fillId="0" borderId="0" xfId="1" applyFont="1" applyFill="1" applyBorder="1" applyAlignment="1">
      <alignment horizontal="right" vertical="center" wrapText="1"/>
    </xf>
    <xf numFmtId="168" fontId="87" fillId="0" borderId="1" xfId="1" applyNumberFormat="1" applyFont="1" applyFill="1" applyBorder="1" applyAlignment="1">
      <alignment horizontal="right" vertical="center" wrapText="1"/>
    </xf>
    <xf numFmtId="168" fontId="87" fillId="0" borderId="1" xfId="1" applyNumberFormat="1" applyFont="1" applyFill="1" applyBorder="1" applyAlignment="1">
      <alignment vertical="center" wrapText="1"/>
    </xf>
    <xf numFmtId="3" fontId="87" fillId="0" borderId="1" xfId="0" applyNumberFormat="1" applyFont="1" applyFill="1" applyBorder="1" applyAlignment="1">
      <alignment horizontal="right" vertical="center" wrapText="1"/>
    </xf>
    <xf numFmtId="168" fontId="87" fillId="0" borderId="0" xfId="1" applyNumberFormat="1" applyFont="1" applyFill="1" applyBorder="1" applyAlignment="1">
      <alignment horizontal="center" vertical="center" wrapText="1"/>
    </xf>
    <xf numFmtId="0" fontId="87" fillId="0" borderId="1" xfId="0" applyFont="1" applyFill="1" applyBorder="1" applyAlignment="1">
      <alignment horizontal="right" vertical="center" wrapText="1"/>
    </xf>
    <xf numFmtId="168" fontId="87" fillId="0" borderId="15" xfId="1" applyNumberFormat="1" applyFont="1" applyFill="1" applyBorder="1" applyAlignment="1">
      <alignment horizontal="right" vertical="center" wrapText="1"/>
    </xf>
    <xf numFmtId="168" fontId="87" fillId="0" borderId="15" xfId="1" applyNumberFormat="1" applyFont="1" applyFill="1" applyBorder="1" applyAlignment="1">
      <alignment vertical="center" wrapText="1"/>
    </xf>
    <xf numFmtId="3" fontId="87" fillId="0" borderId="15" xfId="0" applyNumberFormat="1" applyFont="1" applyFill="1" applyBorder="1" applyAlignment="1">
      <alignment horizontal="right" vertical="center" wrapText="1"/>
    </xf>
    <xf numFmtId="168" fontId="87" fillId="0" borderId="0" xfId="1" applyNumberFormat="1" applyFont="1" applyFill="1" applyBorder="1" applyAlignment="1">
      <alignment vertical="center" wrapText="1"/>
    </xf>
    <xf numFmtId="0" fontId="87" fillId="0" borderId="4" xfId="0" applyFont="1" applyFill="1" applyBorder="1" applyAlignment="1">
      <alignment horizontal="right" vertical="center" wrapText="1"/>
    </xf>
    <xf numFmtId="164" fontId="87" fillId="0" borderId="0" xfId="1" applyFont="1" applyFill="1" applyAlignment="1">
      <alignment vertical="center"/>
    </xf>
    <xf numFmtId="0" fontId="87" fillId="0" borderId="0" xfId="0" applyFont="1" applyFill="1" applyAlignment="1">
      <alignment vertical="center"/>
    </xf>
    <xf numFmtId="0" fontId="88" fillId="0" borderId="9" xfId="0" applyFont="1" applyFill="1" applyBorder="1" applyAlignment="1">
      <alignment vertical="center" wrapText="1"/>
    </xf>
    <xf numFmtId="164" fontId="88" fillId="0" borderId="0" xfId="1" applyFont="1" applyFill="1" applyBorder="1" applyAlignment="1">
      <alignment horizontal="right" vertical="center" wrapText="1"/>
    </xf>
    <xf numFmtId="168" fontId="88" fillId="0" borderId="0" xfId="1" applyNumberFormat="1" applyFont="1" applyFill="1" applyBorder="1" applyAlignment="1">
      <alignment horizontal="right" vertical="center" wrapText="1"/>
    </xf>
    <xf numFmtId="168" fontId="88" fillId="0" borderId="0" xfId="1" applyNumberFormat="1" applyFont="1" applyFill="1" applyBorder="1" applyAlignment="1">
      <alignment vertical="center" wrapText="1"/>
    </xf>
    <xf numFmtId="0" fontId="88" fillId="0" borderId="4" xfId="0" applyFont="1" applyFill="1" applyBorder="1" applyAlignment="1">
      <alignment horizontal="right" vertical="center" wrapText="1"/>
    </xf>
    <xf numFmtId="0" fontId="89" fillId="0" borderId="8" xfId="0" applyFont="1" applyFill="1" applyBorder="1" applyAlignment="1">
      <alignment vertical="center" wrapText="1"/>
    </xf>
    <xf numFmtId="168" fontId="89" fillId="0" borderId="5" xfId="1" applyNumberFormat="1" applyFont="1" applyFill="1" applyBorder="1" applyAlignment="1">
      <alignment horizontal="right" vertical="center" wrapText="1"/>
    </xf>
    <xf numFmtId="0" fontId="89" fillId="0" borderId="6" xfId="0" applyFont="1" applyFill="1" applyBorder="1" applyAlignment="1">
      <alignment horizontal="right" vertical="center" wrapText="1"/>
    </xf>
    <xf numFmtId="164" fontId="89" fillId="0" borderId="0" xfId="1" applyFont="1" applyFill="1" applyBorder="1" applyAlignment="1">
      <alignment horizontal="right" vertical="center" wrapText="1"/>
    </xf>
    <xf numFmtId="168" fontId="77" fillId="0" borderId="0" xfId="1" applyNumberFormat="1" applyFont="1" applyFill="1" applyBorder="1" applyAlignment="1">
      <alignment horizontal="center" vertical="center" wrapText="1"/>
    </xf>
    <xf numFmtId="168" fontId="77" fillId="0" borderId="0" xfId="1" applyNumberFormat="1" applyFont="1" applyFill="1" applyBorder="1" applyAlignment="1">
      <alignment horizontal="right" vertical="center" wrapText="1"/>
    </xf>
    <xf numFmtId="0" fontId="77" fillId="0" borderId="0" xfId="0" applyFont="1" applyFill="1" applyBorder="1" applyAlignment="1">
      <alignment horizontal="right" vertical="center" wrapText="1"/>
    </xf>
    <xf numFmtId="168" fontId="77" fillId="0" borderId="7" xfId="1" applyNumberFormat="1" applyFont="1" applyFill="1" applyBorder="1" applyAlignment="1">
      <alignment vertical="center"/>
    </xf>
    <xf numFmtId="170" fontId="61" fillId="0" borderId="0" xfId="1" applyNumberFormat="1" applyFont="1"/>
    <xf numFmtId="170" fontId="15" fillId="0" borderId="0" xfId="1" applyNumberFormat="1" applyFont="1"/>
    <xf numFmtId="170" fontId="14" fillId="0" borderId="0" xfId="1" applyNumberFormat="1" applyFont="1"/>
    <xf numFmtId="168" fontId="14" fillId="0" borderId="0" xfId="1" applyNumberFormat="1" applyFont="1"/>
    <xf numFmtId="168" fontId="6" fillId="0" borderId="0" xfId="1" applyNumberFormat="1" applyFont="1" applyAlignment="1">
      <alignment horizontal="center"/>
    </xf>
    <xf numFmtId="0" fontId="2" fillId="0" borderId="0" xfId="0" applyFont="1" applyFill="1" applyBorder="1"/>
    <xf numFmtId="0" fontId="2" fillId="0" borderId="5" xfId="0" applyFont="1" applyFill="1" applyBorder="1"/>
    <xf numFmtId="168" fontId="7" fillId="0" borderId="12" xfId="1" applyNumberFormat="1" applyFont="1" applyFill="1" applyBorder="1" applyAlignment="1">
      <alignment horizontal="left"/>
    </xf>
    <xf numFmtId="0" fontId="2" fillId="0" borderId="13" xfId="0" applyFont="1" applyBorder="1" applyAlignment="1"/>
    <xf numFmtId="168" fontId="2" fillId="0" borderId="13" xfId="1" applyNumberFormat="1" applyFont="1" applyFill="1" applyBorder="1" applyAlignment="1"/>
    <xf numFmtId="0" fontId="2" fillId="0" borderId="13" xfId="0" applyFont="1" applyFill="1" applyBorder="1" applyAlignment="1"/>
    <xf numFmtId="0" fontId="2" fillId="0" borderId="14" xfId="0" applyFont="1" applyBorder="1" applyAlignment="1"/>
    <xf numFmtId="0" fontId="2" fillId="0" borderId="0" xfId="0" applyFont="1" applyBorder="1" applyAlignment="1"/>
    <xf numFmtId="168" fontId="2" fillId="0" borderId="0" xfId="1" applyNumberFormat="1" applyFont="1" applyAlignment="1"/>
    <xf numFmtId="0" fontId="2" fillId="0" borderId="0" xfId="0" applyFont="1" applyAlignment="1"/>
    <xf numFmtId="168" fontId="7" fillId="0" borderId="9" xfId="1" applyNumberFormat="1" applyFont="1" applyFill="1" applyBorder="1" applyAlignment="1">
      <alignment horizontal="left"/>
    </xf>
    <xf numFmtId="0" fontId="2" fillId="0" borderId="4" xfId="0" applyFont="1" applyBorder="1" applyAlignment="1"/>
    <xf numFmtId="168" fontId="7" fillId="0" borderId="9" xfId="1" quotePrefix="1" applyNumberFormat="1" applyFont="1" applyFill="1" applyBorder="1" applyAlignment="1">
      <alignment horizontal="center"/>
    </xf>
    <xf numFmtId="0" fontId="7" fillId="0" borderId="0" xfId="0" applyFont="1" applyBorder="1" applyAlignment="1">
      <alignment vertical="top" wrapText="1"/>
    </xf>
    <xf numFmtId="168" fontId="2" fillId="0" borderId="0" xfId="1" applyNumberFormat="1" applyFont="1" applyFill="1" applyBorder="1" applyAlignment="1"/>
    <xf numFmtId="0" fontId="2" fillId="0" borderId="0" xfId="0" applyFont="1" applyFill="1" applyBorder="1" applyAlignment="1"/>
    <xf numFmtId="168" fontId="7" fillId="0" borderId="9" xfId="1" applyNumberFormat="1" applyFont="1" applyBorder="1" applyAlignment="1">
      <alignment horizontal="center"/>
    </xf>
    <xf numFmtId="168" fontId="2" fillId="0" borderId="5" xfId="1" applyNumberFormat="1" applyFont="1" applyFill="1" applyBorder="1" applyAlignment="1"/>
    <xf numFmtId="0" fontId="2" fillId="0" borderId="6" xfId="0" applyFont="1" applyBorder="1" applyAlignment="1"/>
    <xf numFmtId="0" fontId="2" fillId="0" borderId="0" xfId="0" applyFont="1" applyBorder="1" applyAlignment="1">
      <alignment horizontal="justify" vertical="justify" wrapText="1"/>
    </xf>
    <xf numFmtId="0" fontId="2" fillId="0" borderId="0" xfId="0" applyFont="1" applyBorder="1" applyAlignment="1">
      <alignment horizontal="left" wrapText="1"/>
    </xf>
    <xf numFmtId="0" fontId="2" fillId="0" borderId="0" xfId="0" applyFont="1" applyFill="1" applyBorder="1" applyAlignment="1">
      <alignment horizontal="left" wrapText="1"/>
    </xf>
    <xf numFmtId="0" fontId="2" fillId="0" borderId="4" xfId="0" applyFont="1" applyBorder="1" applyAlignment="1">
      <alignment horizontal="left" wrapText="1"/>
    </xf>
    <xf numFmtId="168" fontId="7" fillId="0" borderId="8" xfId="1" applyNumberFormat="1" applyFont="1" applyBorder="1" applyAlignment="1">
      <alignment horizontal="center"/>
    </xf>
    <xf numFmtId="0" fontId="2" fillId="0" borderId="5" xfId="0" applyFont="1" applyBorder="1" applyAlignment="1"/>
    <xf numFmtId="0" fontId="2" fillId="0" borderId="5" xfId="0" applyFont="1" applyFill="1" applyBorder="1" applyAlignment="1"/>
    <xf numFmtId="168" fontId="77" fillId="0" borderId="0" xfId="1" applyNumberFormat="1" applyFont="1" applyFill="1" applyBorder="1" applyAlignment="1">
      <alignment horizontal="center"/>
    </xf>
    <xf numFmtId="164" fontId="77" fillId="8" borderId="0" xfId="1" applyFont="1" applyFill="1" applyBorder="1" applyAlignment="1">
      <alignment vertical="center"/>
    </xf>
    <xf numFmtId="168" fontId="2" fillId="0" borderId="0" xfId="1" applyNumberFormat="1" applyFont="1"/>
    <xf numFmtId="168" fontId="2" fillId="0" borderId="5" xfId="1" applyNumberFormat="1" applyFont="1" applyBorder="1"/>
    <xf numFmtId="168" fontId="78" fillId="0" borderId="0" xfId="1" applyNumberFormat="1" applyFont="1" applyFill="1" applyBorder="1" applyAlignment="1">
      <alignment horizontal="center" wrapText="1"/>
    </xf>
    <xf numFmtId="168" fontId="91" fillId="0" borderId="0" xfId="1" applyNumberFormat="1" applyFont="1" applyFill="1" applyAlignment="1">
      <alignment vertical="center"/>
    </xf>
    <xf numFmtId="0" fontId="91" fillId="0" borderId="0" xfId="0" applyFont="1" applyFill="1" applyAlignment="1">
      <alignment vertical="center"/>
    </xf>
    <xf numFmtId="0" fontId="92" fillId="0" borderId="0" xfId="0" applyFont="1" applyFill="1" applyAlignment="1">
      <alignment horizontal="center" vertical="center"/>
    </xf>
    <xf numFmtId="0" fontId="91" fillId="0" borderId="0" xfId="0" applyFont="1" applyFill="1" applyBorder="1" applyAlignment="1">
      <alignment vertical="center"/>
    </xf>
    <xf numFmtId="0" fontId="92" fillId="0" borderId="12" xfId="0" quotePrefix="1" applyFont="1" applyFill="1" applyBorder="1" applyAlignment="1">
      <alignment horizontal="center" vertical="center"/>
    </xf>
    <xf numFmtId="0" fontId="94" fillId="0" borderId="13" xfId="0" applyFont="1" applyFill="1" applyBorder="1" applyAlignment="1">
      <alignment vertical="center"/>
    </xf>
    <xf numFmtId="168" fontId="91" fillId="0" borderId="13" xfId="1" applyNumberFormat="1" applyFont="1" applyFill="1" applyBorder="1" applyAlignment="1">
      <alignment vertical="center"/>
    </xf>
    <xf numFmtId="0" fontId="91" fillId="0" borderId="13" xfId="0" applyFont="1" applyFill="1" applyBorder="1" applyAlignment="1">
      <alignment vertical="center"/>
    </xf>
    <xf numFmtId="0" fontId="91" fillId="0" borderId="14" xfId="0" applyFont="1" applyFill="1" applyBorder="1" applyAlignment="1">
      <alignment vertical="center"/>
    </xf>
    <xf numFmtId="0" fontId="92" fillId="0" borderId="9" xfId="0" applyFont="1" applyFill="1" applyBorder="1" applyAlignment="1">
      <alignment horizontal="center" vertical="center"/>
    </xf>
    <xf numFmtId="168" fontId="91" fillId="0" borderId="0" xfId="1" applyNumberFormat="1" applyFont="1" applyFill="1" applyBorder="1" applyAlignment="1">
      <alignment vertical="center"/>
    </xf>
    <xf numFmtId="0" fontId="91" fillId="0" borderId="4" xfId="0" applyFont="1" applyFill="1" applyBorder="1" applyAlignment="1">
      <alignment vertical="center"/>
    </xf>
    <xf numFmtId="0" fontId="92" fillId="0" borderId="0" xfId="0" applyFont="1" applyFill="1" applyBorder="1" applyAlignment="1">
      <alignment vertical="center"/>
    </xf>
    <xf numFmtId="0" fontId="92" fillId="0" borderId="43" xfId="0" applyFont="1" applyFill="1" applyBorder="1" applyAlignment="1">
      <alignment horizontal="center" vertical="center" wrapText="1"/>
    </xf>
    <xf numFmtId="0" fontId="92" fillId="0" borderId="9" xfId="0" applyFont="1" applyFill="1" applyBorder="1" applyAlignment="1">
      <alignment horizontal="center" vertical="center" wrapText="1"/>
    </xf>
    <xf numFmtId="0" fontId="92" fillId="0" borderId="2" xfId="0" applyFont="1" applyFill="1" applyBorder="1" applyAlignment="1">
      <alignment horizontal="center" vertical="center" wrapText="1"/>
    </xf>
    <xf numFmtId="0" fontId="91" fillId="0" borderId="0" xfId="0" applyFont="1" applyFill="1" applyBorder="1" applyAlignment="1">
      <alignment horizontal="left" vertical="center" wrapText="1"/>
    </xf>
    <xf numFmtId="168" fontId="91" fillId="0" borderId="16" xfId="1" applyNumberFormat="1" applyFont="1" applyFill="1" applyBorder="1" applyAlignment="1">
      <alignment vertical="center"/>
    </xf>
    <xf numFmtId="168" fontId="91" fillId="0" borderId="14" xfId="1" applyNumberFormat="1" applyFont="1" applyFill="1" applyBorder="1" applyAlignment="1">
      <alignment vertical="center"/>
    </xf>
    <xf numFmtId="168" fontId="91" fillId="0" borderId="1" xfId="1" applyNumberFormat="1" applyFont="1" applyFill="1" applyBorder="1" applyAlignment="1">
      <alignment vertical="center"/>
    </xf>
    <xf numFmtId="168" fontId="91" fillId="0" borderId="4" xfId="1" applyNumberFormat="1" applyFont="1" applyFill="1" applyBorder="1" applyAlignment="1">
      <alignment vertical="center"/>
    </xf>
    <xf numFmtId="168" fontId="92" fillId="0" borderId="2" xfId="1" applyNumberFormat="1" applyFont="1" applyFill="1" applyBorder="1" applyAlignment="1">
      <alignment vertical="center"/>
    </xf>
    <xf numFmtId="168" fontId="92" fillId="0" borderId="9" xfId="1" applyNumberFormat="1" applyFont="1" applyFill="1" applyBorder="1" applyAlignment="1">
      <alignment vertical="center"/>
    </xf>
    <xf numFmtId="0" fontId="92" fillId="0" borderId="4" xfId="0" applyFont="1" applyFill="1" applyBorder="1" applyAlignment="1">
      <alignment vertical="center"/>
    </xf>
    <xf numFmtId="168" fontId="92" fillId="0" borderId="0" xfId="1" applyNumberFormat="1" applyFont="1" applyFill="1" applyBorder="1" applyAlignment="1">
      <alignment vertical="center"/>
    </xf>
    <xf numFmtId="0" fontId="91" fillId="0" borderId="0" xfId="0" applyFont="1" applyFill="1" applyBorder="1" applyAlignment="1">
      <alignment horizontal="justify" vertical="center" wrapText="1"/>
    </xf>
    <xf numFmtId="168" fontId="91" fillId="0" borderId="0" xfId="1" quotePrefix="1" applyNumberFormat="1" applyFont="1" applyFill="1" applyAlignment="1">
      <alignment vertical="center"/>
    </xf>
    <xf numFmtId="0" fontId="92" fillId="0" borderId="8" xfId="0" applyFont="1" applyFill="1" applyBorder="1" applyAlignment="1">
      <alignment horizontal="center" vertical="center"/>
    </xf>
    <xf numFmtId="0" fontId="91" fillId="0" borderId="5" xfId="0" applyFont="1" applyFill="1" applyBorder="1" applyAlignment="1">
      <alignment vertical="center"/>
    </xf>
    <xf numFmtId="168" fontId="91" fillId="0" borderId="5" xfId="1" applyNumberFormat="1" applyFont="1" applyFill="1" applyBorder="1" applyAlignment="1">
      <alignment vertical="center"/>
    </xf>
    <xf numFmtId="0" fontId="91" fillId="0" borderId="6" xfId="0" applyFont="1" applyFill="1" applyBorder="1" applyAlignment="1">
      <alignment vertical="center"/>
    </xf>
    <xf numFmtId="0" fontId="92" fillId="0" borderId="12" xfId="0" applyFont="1" applyFill="1" applyBorder="1" applyAlignment="1">
      <alignment horizontal="center" vertical="center"/>
    </xf>
    <xf numFmtId="0" fontId="92" fillId="0" borderId="0" xfId="0" applyFont="1" applyFill="1" applyBorder="1" applyAlignment="1">
      <alignment horizontal="center" vertical="center"/>
    </xf>
    <xf numFmtId="168" fontId="92" fillId="0" borderId="2" xfId="1" quotePrefix="1" applyNumberFormat="1" applyFont="1" applyFill="1" applyBorder="1" applyAlignment="1">
      <alignment horizontal="center" vertical="center"/>
    </xf>
    <xf numFmtId="0" fontId="92" fillId="0" borderId="4" xfId="0" applyFont="1" applyFill="1" applyBorder="1" applyAlignment="1">
      <alignment horizontal="center" vertical="center"/>
    </xf>
    <xf numFmtId="168" fontId="92" fillId="0" borderId="0" xfId="1" applyNumberFormat="1" applyFont="1" applyFill="1" applyAlignment="1">
      <alignment horizontal="center" vertical="center"/>
    </xf>
    <xf numFmtId="168" fontId="92" fillId="0" borderId="0" xfId="1" applyNumberFormat="1" applyFont="1" applyFill="1" applyBorder="1" applyAlignment="1">
      <alignment horizontal="center" vertical="center"/>
    </xf>
    <xf numFmtId="0" fontId="92" fillId="0" borderId="9" xfId="0" quotePrefix="1" applyFont="1" applyFill="1" applyBorder="1" applyAlignment="1">
      <alignment horizontal="center" vertical="center"/>
    </xf>
    <xf numFmtId="168" fontId="92" fillId="0" borderId="0" xfId="1" applyNumberFormat="1" applyFont="1" applyFill="1" applyAlignment="1">
      <alignment vertical="center"/>
    </xf>
    <xf numFmtId="0" fontId="92" fillId="0" borderId="0" xfId="0" applyFont="1" applyFill="1" applyAlignment="1">
      <alignment vertical="center"/>
    </xf>
    <xf numFmtId="0" fontId="91" fillId="0" borderId="0" xfId="0" applyFont="1" applyFill="1" applyBorder="1" applyAlignment="1">
      <alignment vertical="center" wrapText="1"/>
    </xf>
    <xf numFmtId="0" fontId="92" fillId="0" borderId="0" xfId="0" applyFont="1" applyFill="1" applyBorder="1" applyAlignment="1">
      <alignment vertical="center" wrapText="1"/>
    </xf>
    <xf numFmtId="168" fontId="92" fillId="0" borderId="7" xfId="1" applyNumberFormat="1" applyFont="1" applyFill="1" applyBorder="1" applyAlignment="1">
      <alignment vertical="center"/>
    </xf>
    <xf numFmtId="0" fontId="94" fillId="0" borderId="0" xfId="0" applyFont="1" applyFill="1" applyBorder="1" applyAlignment="1">
      <alignment vertical="center" wrapText="1"/>
    </xf>
    <xf numFmtId="168" fontId="92" fillId="0" borderId="0" xfId="1" applyNumberFormat="1" applyFont="1" applyFill="1" applyBorder="1" applyAlignment="1">
      <alignment vertical="center" wrapText="1"/>
    </xf>
    <xf numFmtId="0" fontId="91" fillId="0" borderId="4" xfId="0" applyFont="1" applyFill="1" applyBorder="1" applyAlignment="1">
      <alignment vertical="center" wrapText="1"/>
    </xf>
    <xf numFmtId="168" fontId="91" fillId="0" borderId="0" xfId="1" applyNumberFormat="1" applyFont="1" applyFill="1" applyAlignment="1">
      <alignment vertical="center" wrapText="1"/>
    </xf>
    <xf numFmtId="0" fontId="91" fillId="0" borderId="0" xfId="0" applyFont="1" applyFill="1" applyAlignment="1">
      <alignment vertical="center" wrapText="1"/>
    </xf>
    <xf numFmtId="168" fontId="91" fillId="0" borderId="16" xfId="1" applyNumberFormat="1" applyFont="1" applyFill="1" applyBorder="1" applyAlignment="1">
      <alignment vertical="center" wrapText="1"/>
    </xf>
    <xf numFmtId="168" fontId="91" fillId="0" borderId="1" xfId="1" applyNumberFormat="1" applyFont="1" applyFill="1" applyBorder="1" applyAlignment="1">
      <alignment vertical="center" wrapText="1"/>
    </xf>
    <xf numFmtId="168" fontId="91" fillId="0" borderId="15" xfId="1" applyNumberFormat="1" applyFont="1" applyFill="1" applyBorder="1" applyAlignment="1">
      <alignment vertical="center" wrapText="1"/>
    </xf>
    <xf numFmtId="0" fontId="92" fillId="0" borderId="9" xfId="0" applyFont="1" applyFill="1" applyBorder="1" applyAlignment="1">
      <alignment horizontal="justify" vertical="center" wrapText="1"/>
    </xf>
    <xf numFmtId="0" fontId="91" fillId="0" borderId="4" xfId="0" applyFont="1" applyFill="1" applyBorder="1" applyAlignment="1">
      <alignment horizontal="justify" vertical="center" wrapText="1"/>
    </xf>
    <xf numFmtId="168" fontId="91" fillId="0" borderId="0" xfId="1" applyNumberFormat="1" applyFont="1" applyFill="1" applyAlignment="1">
      <alignment horizontal="justify" vertical="center" wrapText="1"/>
    </xf>
    <xf numFmtId="0" fontId="91" fillId="0" borderId="0" xfId="0" applyFont="1" applyFill="1" applyAlignment="1">
      <alignment horizontal="justify" vertical="center" wrapText="1"/>
    </xf>
    <xf numFmtId="168" fontId="91" fillId="0" borderId="0" xfId="1" applyNumberFormat="1" applyFont="1" applyFill="1" applyBorder="1" applyAlignment="1">
      <alignment horizontal="justify" vertical="center" wrapText="1"/>
    </xf>
    <xf numFmtId="0" fontId="94" fillId="0" borderId="13" xfId="0" applyFont="1" applyFill="1" applyBorder="1" applyAlignment="1">
      <alignment vertical="center" wrapText="1"/>
    </xf>
    <xf numFmtId="0" fontId="94" fillId="0" borderId="0" xfId="0" applyFont="1" applyFill="1" applyBorder="1" applyAlignment="1">
      <alignment vertical="center"/>
    </xf>
    <xf numFmtId="168" fontId="91" fillId="0" borderId="0" xfId="1" applyNumberFormat="1" applyFont="1" applyFill="1" applyBorder="1" applyAlignment="1">
      <alignment vertical="center" wrapText="1"/>
    </xf>
    <xf numFmtId="168" fontId="92" fillId="0" borderId="7" xfId="1" applyNumberFormat="1" applyFont="1" applyFill="1" applyBorder="1" applyAlignment="1">
      <alignment vertical="center" wrapText="1"/>
    </xf>
    <xf numFmtId="168" fontId="91" fillId="0" borderId="0" xfId="1" quotePrefix="1" applyNumberFormat="1" applyFont="1" applyFill="1" applyBorder="1" applyAlignment="1">
      <alignment horizontal="center" vertical="center"/>
    </xf>
    <xf numFmtId="0" fontId="91" fillId="0" borderId="0" xfId="0" applyFont="1" applyFill="1" applyBorder="1" applyAlignment="1">
      <alignment horizontal="center" vertical="center"/>
    </xf>
    <xf numFmtId="168" fontId="91" fillId="0" borderId="15" xfId="1" applyNumberFormat="1" applyFont="1" applyFill="1" applyBorder="1" applyAlignment="1">
      <alignment vertical="center"/>
    </xf>
    <xf numFmtId="0" fontId="94" fillId="0" borderId="5" xfId="0" applyFont="1" applyFill="1" applyBorder="1" applyAlignment="1">
      <alignment vertical="center" wrapText="1"/>
    </xf>
    <xf numFmtId="0" fontId="92" fillId="0" borderId="8" xfId="0" applyFont="1" applyFill="1" applyBorder="1" applyAlignment="1">
      <alignment horizontal="center" vertical="center" wrapText="1"/>
    </xf>
    <xf numFmtId="0" fontId="91" fillId="0" borderId="5" xfId="0" applyFont="1" applyFill="1" applyBorder="1" applyAlignment="1">
      <alignment vertical="center" wrapText="1"/>
    </xf>
    <xf numFmtId="168" fontId="91" fillId="0" borderId="5" xfId="1" applyNumberFormat="1" applyFont="1" applyFill="1" applyBorder="1" applyAlignment="1">
      <alignment vertical="center" wrapText="1"/>
    </xf>
    <xf numFmtId="0" fontId="91" fillId="0" borderId="6" xfId="0" applyFont="1" applyFill="1" applyBorder="1" applyAlignment="1">
      <alignment vertical="center" wrapText="1"/>
    </xf>
    <xf numFmtId="0" fontId="95" fillId="0" borderId="0" xfId="0" applyFont="1" applyFill="1" applyBorder="1" applyAlignment="1">
      <alignment vertical="center" wrapText="1"/>
    </xf>
    <xf numFmtId="0" fontId="96" fillId="0" borderId="0" xfId="0" applyFont="1" applyFill="1" applyBorder="1" applyAlignment="1">
      <alignment vertical="center" wrapText="1"/>
    </xf>
    <xf numFmtId="0" fontId="95" fillId="0" borderId="13" xfId="0" applyFont="1" applyFill="1" applyBorder="1" applyAlignment="1">
      <alignment vertical="center" wrapText="1"/>
    </xf>
    <xf numFmtId="0" fontId="97" fillId="0" borderId="0" xfId="0" applyFont="1" applyFill="1" applyBorder="1" applyAlignment="1">
      <alignment vertical="center" wrapText="1"/>
    </xf>
    <xf numFmtId="10" fontId="91" fillId="0" borderId="0" xfId="5" applyNumberFormat="1" applyFont="1" applyFill="1" applyBorder="1" applyAlignment="1">
      <alignment vertical="center"/>
    </xf>
    <xf numFmtId="10" fontId="91" fillId="0" borderId="0" xfId="5" applyNumberFormat="1" applyFont="1" applyFill="1" applyAlignment="1">
      <alignment vertical="center"/>
    </xf>
    <xf numFmtId="0" fontId="98" fillId="0" borderId="0" xfId="0" applyFont="1" applyFill="1" applyBorder="1" applyAlignment="1">
      <alignment vertical="center" wrapText="1"/>
    </xf>
    <xf numFmtId="0" fontId="92" fillId="0" borderId="13" xfId="0" applyFont="1" applyFill="1" applyBorder="1" applyAlignment="1">
      <alignment vertical="center"/>
    </xf>
    <xf numFmtId="168" fontId="91" fillId="0" borderId="10" xfId="1" applyNumberFormat="1" applyFont="1" applyFill="1" applyBorder="1" applyAlignment="1">
      <alignment vertical="center"/>
    </xf>
    <xf numFmtId="0" fontId="92" fillId="0" borderId="9" xfId="0" applyFont="1" applyFill="1" applyBorder="1" applyAlignment="1">
      <alignment horizontal="left" vertical="center"/>
    </xf>
    <xf numFmtId="168" fontId="92" fillId="0" borderId="0" xfId="1" applyNumberFormat="1" applyFont="1" applyFill="1"/>
    <xf numFmtId="165" fontId="99" fillId="0" borderId="0" xfId="1" applyNumberFormat="1" applyFont="1" applyFill="1"/>
    <xf numFmtId="43" fontId="99" fillId="0" borderId="0" xfId="1" quotePrefix="1" applyNumberFormat="1" applyFont="1" applyFill="1" applyAlignment="1">
      <alignment horizontal="center"/>
    </xf>
    <xf numFmtId="43" fontId="99" fillId="0" borderId="0" xfId="1" applyNumberFormat="1" applyFont="1" applyFill="1"/>
    <xf numFmtId="43" fontId="99" fillId="0" borderId="7" xfId="1" applyNumberFormat="1" applyFont="1" applyFill="1" applyBorder="1"/>
    <xf numFmtId="168" fontId="92" fillId="0" borderId="0" xfId="1" applyNumberFormat="1" applyFont="1" applyFill="1" applyAlignment="1" applyProtection="1">
      <alignment horizontal="left"/>
    </xf>
    <xf numFmtId="43" fontId="99" fillId="0" borderId="0" xfId="1" applyNumberFormat="1" applyFont="1" applyFill="1" applyBorder="1"/>
    <xf numFmtId="0" fontId="92" fillId="0" borderId="0" xfId="0" applyFont="1" applyFill="1" applyBorder="1" applyAlignment="1">
      <alignment horizontal="left" vertical="center" wrapText="1"/>
    </xf>
    <xf numFmtId="0" fontId="92" fillId="0" borderId="12" xfId="0" applyFont="1" applyFill="1" applyBorder="1" applyAlignment="1">
      <alignment horizontal="center" vertical="center" wrapText="1"/>
    </xf>
    <xf numFmtId="0" fontId="91" fillId="0" borderId="13" xfId="0" applyFont="1" applyFill="1" applyBorder="1" applyAlignment="1">
      <alignment vertical="center" wrapText="1"/>
    </xf>
    <xf numFmtId="168" fontId="91" fillId="0" borderId="13" xfId="1" applyNumberFormat="1" applyFont="1" applyFill="1" applyBorder="1" applyAlignment="1">
      <alignment vertical="center" wrapText="1"/>
    </xf>
    <xf numFmtId="0" fontId="91" fillId="0" borderId="14" xfId="0" applyFont="1" applyFill="1" applyBorder="1" applyAlignment="1">
      <alignment vertical="center" wrapText="1"/>
    </xf>
    <xf numFmtId="43" fontId="99" fillId="0" borderId="45" xfId="1" applyNumberFormat="1" applyFont="1" applyFill="1" applyBorder="1"/>
    <xf numFmtId="0" fontId="92" fillId="0" borderId="0" xfId="0" applyFont="1" applyFill="1" applyBorder="1" applyAlignment="1">
      <alignment horizontal="center" vertical="center" wrapText="1"/>
    </xf>
    <xf numFmtId="168" fontId="92" fillId="0" borderId="2" xfId="1" quotePrefix="1" applyNumberFormat="1" applyFont="1" applyFill="1" applyBorder="1" applyAlignment="1">
      <alignment horizontal="center" vertical="center" wrapText="1"/>
    </xf>
    <xf numFmtId="0" fontId="92" fillId="0" borderId="4" xfId="0" applyFont="1" applyFill="1" applyBorder="1" applyAlignment="1">
      <alignment horizontal="center" vertical="center" wrapText="1"/>
    </xf>
    <xf numFmtId="43" fontId="91" fillId="0" borderId="0" xfId="0" applyNumberFormat="1" applyFont="1" applyFill="1" applyAlignment="1">
      <alignment vertical="center"/>
    </xf>
    <xf numFmtId="168" fontId="92" fillId="0" borderId="0" xfId="1" applyNumberFormat="1" applyFont="1" applyFill="1" applyBorder="1" applyAlignment="1">
      <alignment horizontal="center" vertical="center" wrapText="1"/>
    </xf>
    <xf numFmtId="168" fontId="92" fillId="0" borderId="0" xfId="0" applyNumberFormat="1" applyFont="1" applyFill="1" applyBorder="1" applyAlignment="1">
      <alignment vertical="center"/>
    </xf>
    <xf numFmtId="168" fontId="91" fillId="0" borderId="0" xfId="0" applyNumberFormat="1" applyFont="1" applyFill="1" applyBorder="1" applyAlignment="1">
      <alignment vertical="center"/>
    </xf>
    <xf numFmtId="0" fontId="91" fillId="0" borderId="9" xfId="0" applyFont="1" applyFill="1" applyBorder="1" applyAlignment="1">
      <alignment vertical="center" wrapText="1"/>
    </xf>
    <xf numFmtId="168" fontId="91" fillId="0" borderId="0" xfId="0" applyNumberFormat="1" applyFont="1" applyFill="1" applyBorder="1" applyAlignment="1">
      <alignment vertical="center" wrapText="1"/>
    </xf>
    <xf numFmtId="168" fontId="91" fillId="0" borderId="4" xfId="0" applyNumberFormat="1" applyFont="1" applyFill="1" applyBorder="1" applyAlignment="1">
      <alignment vertical="center" wrapText="1"/>
    </xf>
    <xf numFmtId="0" fontId="92" fillId="0" borderId="9" xfId="0" applyFont="1" applyFill="1" applyBorder="1" applyAlignment="1">
      <alignment vertical="center" wrapText="1"/>
    </xf>
    <xf numFmtId="0" fontId="91" fillId="0" borderId="8" xfId="0" applyFont="1" applyFill="1" applyBorder="1" applyAlignment="1">
      <alignment vertical="center" wrapText="1"/>
    </xf>
    <xf numFmtId="168" fontId="91" fillId="0" borderId="5" xfId="0" applyNumberFormat="1" applyFont="1" applyFill="1" applyBorder="1" applyAlignment="1">
      <alignment vertical="center" wrapText="1"/>
    </xf>
    <xf numFmtId="168" fontId="91" fillId="0" borderId="6" xfId="0" applyNumberFormat="1" applyFont="1" applyFill="1" applyBorder="1" applyAlignment="1">
      <alignment vertical="center" wrapText="1"/>
    </xf>
    <xf numFmtId="168" fontId="7" fillId="0" borderId="46" xfId="1" applyNumberFormat="1" applyFont="1" applyBorder="1" applyAlignment="1">
      <alignment horizontal="center"/>
    </xf>
    <xf numFmtId="168" fontId="7" fillId="0" borderId="46" xfId="1" applyNumberFormat="1" applyFont="1" applyFill="1" applyBorder="1" applyAlignment="1">
      <alignment horizontal="center"/>
    </xf>
    <xf numFmtId="168" fontId="7" fillId="0" borderId="5" xfId="1" applyNumberFormat="1" applyFont="1" applyBorder="1" applyAlignment="1">
      <alignment horizontal="center"/>
    </xf>
    <xf numFmtId="168" fontId="7" fillId="0" borderId="5" xfId="1" applyNumberFormat="1" applyFont="1" applyFill="1" applyBorder="1" applyAlignment="1">
      <alignment horizontal="center"/>
    </xf>
    <xf numFmtId="168" fontId="12" fillId="0" borderId="0" xfId="1" applyNumberFormat="1" applyFont="1" applyFill="1" applyBorder="1"/>
    <xf numFmtId="0" fontId="26" fillId="0" borderId="0" xfId="0" applyFont="1" applyBorder="1" applyAlignment="1"/>
    <xf numFmtId="0" fontId="26" fillId="0" borderId="0" xfId="0" applyFont="1" applyBorder="1" applyAlignment="1">
      <alignment horizontal="left"/>
    </xf>
    <xf numFmtId="0" fontId="26" fillId="0" borderId="0" xfId="0" applyFont="1" applyAlignment="1">
      <alignment horizontal="left"/>
    </xf>
    <xf numFmtId="0" fontId="1" fillId="0" borderId="0" xfId="0" applyFont="1" applyAlignment="1"/>
    <xf numFmtId="164" fontId="1" fillId="0" borderId="0" xfId="1" applyFont="1" applyFill="1" applyBorder="1"/>
    <xf numFmtId="0" fontId="1" fillId="0" borderId="0" xfId="0" applyFont="1"/>
    <xf numFmtId="0" fontId="7" fillId="0" borderId="0" xfId="0" applyFont="1" applyFill="1" applyAlignment="1">
      <alignment horizontal="center"/>
    </xf>
    <xf numFmtId="0" fontId="1" fillId="0" borderId="0" xfId="0" applyFont="1" applyFill="1" applyAlignment="1"/>
    <xf numFmtId="0" fontId="1" fillId="0" borderId="0" xfId="0" applyFont="1" applyFill="1"/>
    <xf numFmtId="0" fontId="7" fillId="0" borderId="12" xfId="0" quotePrefix="1" applyFont="1" applyFill="1" applyBorder="1" applyAlignment="1">
      <alignment horizontal="center"/>
    </xf>
    <xf numFmtId="0" fontId="7" fillId="0" borderId="13" xfId="0" applyFont="1" applyFill="1" applyBorder="1"/>
    <xf numFmtId="164" fontId="1" fillId="0" borderId="13" xfId="1" applyFont="1" applyFill="1" applyBorder="1"/>
    <xf numFmtId="0" fontId="1" fillId="0" borderId="14" xfId="0" applyFont="1" applyFill="1" applyBorder="1"/>
    <xf numFmtId="0" fontId="7" fillId="0" borderId="9" xfId="0" applyFont="1" applyFill="1" applyBorder="1" applyAlignment="1">
      <alignment horizontal="center" vertical="center"/>
    </xf>
    <xf numFmtId="0" fontId="7" fillId="0" borderId="0" xfId="0" applyFont="1" applyFill="1" applyBorder="1" applyAlignment="1">
      <alignment vertical="center" wrapText="1"/>
    </xf>
    <xf numFmtId="164" fontId="7" fillId="0" borderId="2" xfId="1" applyFont="1" applyFill="1" applyBorder="1" applyAlignment="1">
      <alignment horizontal="center" vertical="center" wrapText="1"/>
    </xf>
    <xf numFmtId="0" fontId="1" fillId="0" borderId="4" xfId="0" applyFont="1" applyFill="1" applyBorder="1" applyAlignment="1">
      <alignment vertical="center"/>
    </xf>
    <xf numFmtId="164" fontId="7" fillId="0" borderId="0" xfId="1" applyFont="1" applyFill="1" applyBorder="1" applyAlignment="1">
      <alignment horizontal="center" vertical="center" wrapText="1"/>
    </xf>
    <xf numFmtId="0" fontId="7" fillId="0" borderId="9" xfId="0" applyFont="1" applyFill="1" applyBorder="1" applyAlignment="1">
      <alignment horizontal="center"/>
    </xf>
    <xf numFmtId="0" fontId="7" fillId="0" borderId="0" xfId="0" applyFont="1" applyFill="1" applyBorder="1" applyAlignment="1">
      <alignment vertical="top" wrapText="1"/>
    </xf>
    <xf numFmtId="0" fontId="1" fillId="0" borderId="4" xfId="0" applyFont="1" applyFill="1" applyBorder="1"/>
    <xf numFmtId="15" fontId="7" fillId="0" borderId="0" xfId="0" quotePrefix="1" applyNumberFormat="1" applyFont="1" applyFill="1" applyBorder="1" applyAlignment="1">
      <alignment vertical="top" wrapText="1"/>
    </xf>
    <xf numFmtId="0" fontId="1" fillId="0" borderId="0" xfId="0" applyFont="1" applyFill="1" applyBorder="1" applyAlignment="1">
      <alignment vertical="top" wrapText="1"/>
    </xf>
    <xf numFmtId="164" fontId="7" fillId="0" borderId="0" xfId="1" applyFont="1" applyFill="1" applyBorder="1"/>
    <xf numFmtId="0" fontId="1" fillId="0" borderId="0" xfId="0" applyFont="1" applyFill="1" applyBorder="1" applyAlignment="1">
      <alignment horizontal="left" vertical="top" wrapText="1" indent="1"/>
    </xf>
    <xf numFmtId="164" fontId="1" fillId="0" borderId="16" xfId="1" applyFont="1" applyFill="1" applyBorder="1"/>
    <xf numFmtId="164" fontId="1" fillId="0" borderId="1" xfId="1" applyFont="1" applyFill="1" applyBorder="1"/>
    <xf numFmtId="164" fontId="1" fillId="0" borderId="15" xfId="1" applyFont="1" applyFill="1" applyBorder="1"/>
    <xf numFmtId="164" fontId="7" fillId="0" borderId="7" xfId="1" applyFont="1" applyFill="1" applyBorder="1"/>
    <xf numFmtId="0" fontId="7" fillId="0" borderId="4" xfId="0" applyFont="1" applyFill="1" applyBorder="1"/>
    <xf numFmtId="0" fontId="18" fillId="0" borderId="0" xfId="0" applyFont="1" applyFill="1" applyBorder="1" applyAlignment="1">
      <alignment vertical="top" wrapText="1"/>
    </xf>
    <xf numFmtId="0" fontId="1" fillId="0" borderId="0" xfId="0" applyFont="1" applyFill="1" applyBorder="1" applyAlignment="1"/>
    <xf numFmtId="0" fontId="7" fillId="0" borderId="8" xfId="0" applyFont="1" applyFill="1" applyBorder="1" applyAlignment="1">
      <alignment horizontal="center"/>
    </xf>
    <xf numFmtId="0" fontId="1" fillId="0" borderId="5" xfId="0" applyFont="1" applyFill="1" applyBorder="1" applyAlignment="1"/>
    <xf numFmtId="164" fontId="1" fillId="0" borderId="5" xfId="1" applyFont="1" applyFill="1" applyBorder="1"/>
    <xf numFmtId="0" fontId="1" fillId="0" borderId="6" xfId="0" applyFont="1" applyFill="1" applyBorder="1"/>
    <xf numFmtId="0" fontId="7" fillId="0" borderId="12" xfId="0" applyFont="1" applyFill="1" applyBorder="1" applyAlignment="1">
      <alignment horizontal="center"/>
    </xf>
    <xf numFmtId="0" fontId="1" fillId="0" borderId="13" xfId="0" applyFont="1" applyFill="1" applyBorder="1" applyAlignment="1"/>
    <xf numFmtId="164" fontId="7" fillId="0" borderId="2" xfId="1" quotePrefix="1" applyFont="1" applyFill="1" applyBorder="1" applyAlignment="1">
      <alignment horizontal="center"/>
    </xf>
    <xf numFmtId="164" fontId="7" fillId="0" borderId="0" xfId="1" applyFont="1" applyFill="1" applyBorder="1" applyAlignment="1">
      <alignment horizontal="center"/>
    </xf>
    <xf numFmtId="0" fontId="7" fillId="0" borderId="9" xfId="0" applyFont="1" applyFill="1" applyBorder="1" applyAlignment="1">
      <alignment horizontal="justify" vertical="justify"/>
    </xf>
    <xf numFmtId="0" fontId="1" fillId="0" borderId="0" xfId="0" applyFont="1" applyFill="1" applyBorder="1" applyAlignment="1">
      <alignment horizontal="justify" vertical="justify"/>
    </xf>
    <xf numFmtId="164" fontId="1" fillId="0" borderId="0" xfId="1" applyFont="1" applyFill="1" applyBorder="1" applyAlignment="1">
      <alignment horizontal="justify" vertical="justify"/>
    </xf>
    <xf numFmtId="0" fontId="1" fillId="0" borderId="4" xfId="0" applyFont="1" applyFill="1" applyBorder="1" applyAlignment="1">
      <alignment horizontal="justify" vertical="justify"/>
    </xf>
    <xf numFmtId="0" fontId="100" fillId="0" borderId="0" xfId="0" applyFont="1" applyFill="1" applyBorder="1" applyAlignment="1">
      <alignment vertical="center" wrapText="1"/>
    </xf>
    <xf numFmtId="0" fontId="92" fillId="0" borderId="5" xfId="0" applyFont="1" applyFill="1" applyBorder="1" applyAlignment="1">
      <alignment vertical="center" wrapText="1"/>
    </xf>
    <xf numFmtId="164" fontId="101" fillId="0" borderId="0" xfId="1" applyFont="1" applyFill="1" applyAlignment="1">
      <alignment vertical="center"/>
    </xf>
    <xf numFmtId="0" fontId="1" fillId="0" borderId="0" xfId="0" applyFont="1" applyFill="1" applyBorder="1" applyAlignment="1">
      <alignment vertical="center" wrapText="1"/>
    </xf>
    <xf numFmtId="168" fontId="102" fillId="0" borderId="9" xfId="1" applyNumberFormat="1" applyFont="1" applyFill="1" applyBorder="1" applyAlignment="1">
      <alignment horizontal="center" vertical="center"/>
    </xf>
    <xf numFmtId="0" fontId="93" fillId="0" borderId="0" xfId="0" applyFont="1" applyFill="1" applyBorder="1" applyAlignment="1">
      <alignment vertical="center"/>
    </xf>
    <xf numFmtId="168" fontId="93" fillId="0" borderId="1" xfId="1" applyNumberFormat="1" applyFont="1" applyFill="1" applyBorder="1" applyAlignment="1">
      <alignment vertical="center"/>
    </xf>
    <xf numFmtId="168" fontId="93" fillId="0" borderId="0" xfId="1" applyNumberFormat="1" applyFont="1" applyFill="1" applyBorder="1" applyAlignment="1">
      <alignment vertical="center"/>
    </xf>
    <xf numFmtId="0" fontId="93" fillId="0" borderId="4" xfId="0" applyFont="1" applyFill="1" applyBorder="1" applyAlignment="1">
      <alignment vertical="center"/>
    </xf>
    <xf numFmtId="164" fontId="93" fillId="0" borderId="0" xfId="1" applyFont="1" applyFill="1" applyAlignment="1">
      <alignment vertical="center"/>
    </xf>
    <xf numFmtId="0" fontId="93" fillId="0" borderId="0" xfId="0" applyFont="1" applyFill="1" applyAlignment="1">
      <alignment vertical="center"/>
    </xf>
    <xf numFmtId="0" fontId="103" fillId="0" borderId="0" xfId="0" applyFont="1" applyFill="1" applyAlignment="1">
      <alignment vertical="center"/>
    </xf>
    <xf numFmtId="0" fontId="103" fillId="0" borderId="0" xfId="0" quotePrefix="1" applyFont="1" applyFill="1" applyAlignment="1">
      <alignment vertical="center"/>
    </xf>
    <xf numFmtId="164" fontId="103" fillId="6" borderId="0" xfId="1" applyFont="1" applyFill="1" applyAlignment="1">
      <alignment vertical="center"/>
    </xf>
    <xf numFmtId="164" fontId="104" fillId="0" borderId="0" xfId="1" applyFont="1" applyFill="1" applyAlignment="1">
      <alignment vertical="center"/>
    </xf>
    <xf numFmtId="164" fontId="103" fillId="0" borderId="0" xfId="1" applyFont="1" applyFill="1" applyAlignment="1">
      <alignment vertical="center"/>
    </xf>
    <xf numFmtId="43" fontId="103" fillId="0" borderId="0" xfId="0" applyNumberFormat="1" applyFont="1" applyFill="1" applyAlignment="1">
      <alignment vertical="center"/>
    </xf>
    <xf numFmtId="43" fontId="91" fillId="0" borderId="0" xfId="1" applyNumberFormat="1" applyFont="1"/>
    <xf numFmtId="164" fontId="7" fillId="0" borderId="7" xfId="1" applyFont="1" applyFill="1" applyBorder="1" applyAlignment="1">
      <alignment horizontal="justify" vertical="justify"/>
    </xf>
    <xf numFmtId="43" fontId="91" fillId="0" borderId="16" xfId="1" applyNumberFormat="1" applyFont="1" applyBorder="1"/>
    <xf numFmtId="43" fontId="91" fillId="0" borderId="1" xfId="1" applyNumberFormat="1" applyFont="1" applyBorder="1"/>
    <xf numFmtId="43" fontId="91" fillId="0" borderId="15" xfId="1" applyNumberFormat="1" applyFont="1" applyBorder="1"/>
    <xf numFmtId="43" fontId="92" fillId="0" borderId="7" xfId="1" applyNumberFormat="1" applyFont="1" applyBorder="1"/>
    <xf numFmtId="0" fontId="1" fillId="0" borderId="9" xfId="0" applyFont="1" applyBorder="1" applyAlignment="1"/>
    <xf numFmtId="0" fontId="1" fillId="0" borderId="0" xfId="0" applyFont="1" applyBorder="1"/>
    <xf numFmtId="0" fontId="1" fillId="0" borderId="4" xfId="0" applyFont="1" applyBorder="1"/>
    <xf numFmtId="0" fontId="77" fillId="0" borderId="4" xfId="0" applyFont="1" applyFill="1" applyBorder="1"/>
    <xf numFmtId="43" fontId="91" fillId="0" borderId="0" xfId="1" applyNumberFormat="1" applyFont="1" applyBorder="1"/>
    <xf numFmtId="43" fontId="91" fillId="0" borderId="4" xfId="1" applyNumberFormat="1" applyFont="1" applyBorder="1"/>
    <xf numFmtId="43" fontId="92" fillId="0" borderId="0" xfId="1" applyNumberFormat="1" applyFont="1" applyBorder="1"/>
    <xf numFmtId="164" fontId="77" fillId="0" borderId="5" xfId="1" applyFont="1" applyFill="1" applyBorder="1"/>
    <xf numFmtId="0" fontId="77" fillId="0" borderId="6" xfId="0" applyFont="1" applyFill="1" applyBorder="1"/>
    <xf numFmtId="0" fontId="1" fillId="0" borderId="0" xfId="0" applyFont="1" applyBorder="1" applyAlignment="1">
      <alignment horizontal="justify" vertical="top" wrapText="1"/>
    </xf>
    <xf numFmtId="0" fontId="1" fillId="0" borderId="0" xfId="0" applyFont="1" applyFill="1" applyBorder="1" applyAlignment="1">
      <alignment horizontal="justify" vertical="justify" wrapText="1"/>
    </xf>
    <xf numFmtId="0" fontId="13" fillId="0" borderId="0" xfId="0" applyFont="1" applyFill="1" applyAlignment="1">
      <alignment vertical="center"/>
    </xf>
    <xf numFmtId="0" fontId="35" fillId="0" borderId="0" xfId="2" applyFill="1" applyAlignment="1">
      <alignment horizontal="justify" vertical="top" wrapText="1"/>
    </xf>
    <xf numFmtId="168" fontId="15" fillId="0" borderId="0" xfId="1" applyNumberFormat="1" applyFont="1" applyBorder="1" applyAlignment="1">
      <alignment horizontal="justify" vertical="top"/>
    </xf>
    <xf numFmtId="0" fontId="15" fillId="0" borderId="0" xfId="0" applyFont="1" applyBorder="1" applyAlignment="1">
      <alignment horizontal="justify" vertical="top"/>
    </xf>
    <xf numFmtId="0" fontId="91" fillId="0" borderId="0" xfId="0" applyFont="1" applyFill="1" applyBorder="1" applyAlignment="1">
      <alignment horizontal="left" vertical="center" wrapText="1"/>
    </xf>
    <xf numFmtId="0" fontId="92" fillId="0" borderId="0" xfId="0" applyFont="1" applyFill="1" applyAlignment="1">
      <alignment horizontal="center" vertical="center"/>
    </xf>
    <xf numFmtId="164" fontId="91" fillId="0" borderId="0" xfId="1" applyFont="1" applyFill="1" applyAlignment="1">
      <alignment vertical="center"/>
    </xf>
    <xf numFmtId="164" fontId="91" fillId="0" borderId="0" xfId="1" applyFont="1" applyFill="1" applyBorder="1" applyAlignment="1">
      <alignment vertical="center"/>
    </xf>
    <xf numFmtId="0" fontId="105" fillId="0" borderId="9" xfId="0" quotePrefix="1" applyFont="1" applyFill="1" applyBorder="1" applyAlignment="1">
      <alignment horizontal="center" vertical="center"/>
    </xf>
    <xf numFmtId="0" fontId="105" fillId="0" borderId="0" xfId="0" applyFont="1" applyFill="1" applyBorder="1" applyAlignment="1">
      <alignment vertical="center"/>
    </xf>
    <xf numFmtId="168" fontId="99" fillId="0" borderId="0" xfId="1" applyNumberFormat="1" applyFont="1" applyFill="1" applyBorder="1" applyAlignment="1">
      <alignment vertical="center"/>
    </xf>
    <xf numFmtId="164" fontId="99" fillId="0" borderId="0" xfId="1" applyFont="1" applyFill="1" applyBorder="1" applyAlignment="1">
      <alignment vertical="center"/>
    </xf>
    <xf numFmtId="0" fontId="99" fillId="0" borderId="4" xfId="0" applyFont="1" applyFill="1" applyBorder="1" applyAlignment="1">
      <alignment vertical="center"/>
    </xf>
    <xf numFmtId="164" fontId="99" fillId="0" borderId="0" xfId="1" applyFont="1" applyFill="1" applyAlignment="1">
      <alignment vertical="center"/>
    </xf>
    <xf numFmtId="0" fontId="99" fillId="0" borderId="0" xfId="0" applyFont="1" applyFill="1" applyAlignment="1">
      <alignment vertical="center"/>
    </xf>
    <xf numFmtId="168" fontId="92" fillId="0" borderId="2" xfId="1" applyNumberFormat="1" applyFont="1" applyFill="1" applyBorder="1" applyAlignment="1">
      <alignment horizontal="center" vertical="center" wrapText="1"/>
    </xf>
    <xf numFmtId="164" fontId="92" fillId="0" borderId="2" xfId="1" applyFont="1" applyFill="1" applyBorder="1" applyAlignment="1">
      <alignment horizontal="center" vertical="center" wrapText="1"/>
    </xf>
    <xf numFmtId="164" fontId="92" fillId="0" borderId="0" xfId="1" applyFont="1" applyFill="1" applyBorder="1" applyAlignment="1">
      <alignment horizontal="center" vertical="center"/>
    </xf>
    <xf numFmtId="168" fontId="92" fillId="0" borderId="1" xfId="1" applyNumberFormat="1" applyFont="1" applyFill="1" applyBorder="1" applyAlignment="1">
      <alignment horizontal="center" vertical="center"/>
    </xf>
    <xf numFmtId="164" fontId="92" fillId="0" borderId="1" xfId="1" applyFont="1" applyFill="1" applyBorder="1" applyAlignment="1">
      <alignment horizontal="center" vertical="center"/>
    </xf>
    <xf numFmtId="0" fontId="92" fillId="0" borderId="1" xfId="0" applyFont="1" applyFill="1" applyBorder="1" applyAlignment="1">
      <alignment horizontal="center" vertical="center"/>
    </xf>
    <xf numFmtId="164" fontId="91" fillId="0" borderId="15" xfId="1" applyFont="1" applyFill="1" applyBorder="1" applyAlignment="1">
      <alignment vertical="center"/>
    </xf>
    <xf numFmtId="168" fontId="92" fillId="0" borderId="16" xfId="1" applyNumberFormat="1" applyFont="1" applyFill="1" applyBorder="1" applyAlignment="1">
      <alignment vertical="center"/>
    </xf>
    <xf numFmtId="164" fontId="92" fillId="0" borderId="16" xfId="1" applyFont="1" applyFill="1" applyBorder="1" applyAlignment="1">
      <alignment vertical="center"/>
    </xf>
    <xf numFmtId="164" fontId="92" fillId="0" borderId="0" xfId="1" applyFont="1" applyFill="1" applyBorder="1" applyAlignment="1">
      <alignment vertical="center"/>
    </xf>
    <xf numFmtId="164" fontId="91" fillId="0" borderId="16" xfId="1" applyFont="1" applyFill="1" applyBorder="1" applyAlignment="1">
      <alignment vertical="center"/>
    </xf>
    <xf numFmtId="164" fontId="91" fillId="0" borderId="1" xfId="1" applyFont="1" applyFill="1" applyBorder="1" applyAlignment="1">
      <alignment vertical="center"/>
    </xf>
    <xf numFmtId="164" fontId="92" fillId="0" borderId="1" xfId="1" applyFont="1" applyFill="1" applyBorder="1" applyAlignment="1">
      <alignment vertical="center"/>
    </xf>
    <xf numFmtId="168" fontId="92" fillId="0" borderId="1" xfId="1" applyNumberFormat="1" applyFont="1" applyFill="1" applyBorder="1" applyAlignment="1">
      <alignment vertical="center"/>
    </xf>
    <xf numFmtId="164" fontId="92" fillId="0" borderId="15" xfId="1" applyFont="1" applyFill="1" applyBorder="1" applyAlignment="1">
      <alignment vertical="center"/>
    </xf>
    <xf numFmtId="164" fontId="91" fillId="0" borderId="5" xfId="1" applyFont="1" applyFill="1" applyBorder="1" applyAlignment="1">
      <alignment vertical="center"/>
    </xf>
    <xf numFmtId="0" fontId="91" fillId="0" borderId="0" xfId="3" applyFont="1" applyFill="1" applyAlignment="1">
      <alignment vertical="center"/>
    </xf>
    <xf numFmtId="0" fontId="91" fillId="0" borderId="9" xfId="3" applyFont="1" applyFill="1" applyBorder="1" applyAlignment="1">
      <alignment vertical="center"/>
    </xf>
    <xf numFmtId="170" fontId="91" fillId="0" borderId="0" xfId="1" applyNumberFormat="1" applyFont="1" applyFill="1" applyBorder="1" applyAlignment="1">
      <alignment vertical="center"/>
    </xf>
    <xf numFmtId="0" fontId="91" fillId="0" borderId="0" xfId="3" applyFont="1" applyFill="1" applyBorder="1" applyAlignment="1">
      <alignment horizontal="justify" vertical="center" wrapText="1"/>
    </xf>
    <xf numFmtId="0" fontId="91" fillId="0" borderId="0" xfId="3" applyFont="1" applyFill="1" applyBorder="1" applyAlignment="1">
      <alignment vertical="center"/>
    </xf>
    <xf numFmtId="0" fontId="91" fillId="0" borderId="4" xfId="3" applyFont="1" applyFill="1" applyBorder="1" applyAlignment="1">
      <alignment vertical="center"/>
    </xf>
    <xf numFmtId="173" fontId="92" fillId="0" borderId="2" xfId="3" quotePrefix="1" applyNumberFormat="1" applyFont="1" applyFill="1" applyBorder="1" applyAlignment="1">
      <alignment horizontal="center" vertical="center"/>
    </xf>
    <xf numFmtId="173" fontId="92" fillId="0" borderId="0" xfId="3" applyNumberFormat="1" applyFont="1" applyFill="1" applyBorder="1" applyAlignment="1">
      <alignment horizontal="right" vertical="center"/>
    </xf>
    <xf numFmtId="0" fontId="92" fillId="0" borderId="9" xfId="3" quotePrefix="1" applyFont="1" applyFill="1" applyBorder="1" applyAlignment="1">
      <alignment horizontal="right" vertical="center"/>
    </xf>
    <xf numFmtId="170" fontId="92" fillId="0" borderId="0" xfId="1" applyNumberFormat="1" applyFont="1" applyFill="1" applyBorder="1" applyAlignment="1">
      <alignment horizontal="center" vertical="center"/>
    </xf>
    <xf numFmtId="0" fontId="92" fillId="0" borderId="0" xfId="3" applyFont="1" applyFill="1" applyBorder="1" applyAlignment="1">
      <alignment horizontal="justify" vertical="center" wrapText="1"/>
    </xf>
    <xf numFmtId="168" fontId="92" fillId="0" borderId="13" xfId="1" applyNumberFormat="1" applyFont="1" applyFill="1" applyBorder="1" applyAlignment="1">
      <alignment horizontal="right" vertical="center"/>
    </xf>
    <xf numFmtId="0" fontId="91" fillId="0" borderId="9" xfId="3" applyFont="1" applyFill="1" applyBorder="1" applyAlignment="1">
      <alignment horizontal="right" vertical="center"/>
    </xf>
    <xf numFmtId="168" fontId="92" fillId="0" borderId="0" xfId="1" applyNumberFormat="1" applyFont="1" applyFill="1" applyBorder="1" applyAlignment="1">
      <alignment horizontal="right" vertical="center"/>
    </xf>
    <xf numFmtId="168" fontId="92" fillId="0" borderId="5" xfId="1" applyNumberFormat="1" applyFont="1" applyFill="1" applyBorder="1" applyAlignment="1">
      <alignment horizontal="right" vertical="center"/>
    </xf>
    <xf numFmtId="0" fontId="91" fillId="0" borderId="0" xfId="3" applyFont="1" applyFill="1" applyBorder="1" applyAlignment="1">
      <alignment horizontal="left" vertical="center" wrapText="1"/>
    </xf>
    <xf numFmtId="173" fontId="91" fillId="0" borderId="16" xfId="3" applyNumberFormat="1" applyFont="1" applyFill="1" applyBorder="1" applyAlignment="1">
      <alignment horizontal="right" vertical="center"/>
    </xf>
    <xf numFmtId="168" fontId="91" fillId="0" borderId="16" xfId="1" applyNumberFormat="1" applyFont="1" applyFill="1" applyBorder="1" applyAlignment="1">
      <alignment horizontal="right" vertical="center"/>
    </xf>
    <xf numFmtId="173" fontId="91" fillId="0" borderId="1" xfId="3" applyNumberFormat="1" applyFont="1" applyFill="1" applyBorder="1" applyAlignment="1">
      <alignment horizontal="right" vertical="center"/>
    </xf>
    <xf numFmtId="168" fontId="91" fillId="0" borderId="1" xfId="1" applyNumberFormat="1" applyFont="1" applyFill="1" applyBorder="1" applyAlignment="1">
      <alignment horizontal="right" vertical="center"/>
    </xf>
    <xf numFmtId="173" fontId="92" fillId="0" borderId="2" xfId="3" applyNumberFormat="1" applyFont="1" applyFill="1" applyBorder="1" applyAlignment="1">
      <alignment horizontal="right" vertical="center"/>
    </xf>
    <xf numFmtId="168" fontId="92" fillId="0" borderId="2" xfId="1" applyNumberFormat="1" applyFont="1" applyFill="1" applyBorder="1" applyAlignment="1">
      <alignment horizontal="right" vertical="center"/>
    </xf>
    <xf numFmtId="174" fontId="91" fillId="0" borderId="1" xfId="3" applyNumberFormat="1" applyFont="1" applyFill="1" applyBorder="1" applyAlignment="1">
      <alignment vertical="center"/>
    </xf>
    <xf numFmtId="0" fontId="92" fillId="0" borderId="0" xfId="3" applyFont="1" applyFill="1" applyBorder="1" applyAlignment="1">
      <alignment horizontal="left" vertical="center" wrapText="1"/>
    </xf>
    <xf numFmtId="173" fontId="92" fillId="0" borderId="3" xfId="3" applyNumberFormat="1" applyFont="1" applyFill="1" applyBorder="1" applyAlignment="1">
      <alignment horizontal="right" vertical="center"/>
    </xf>
    <xf numFmtId="168" fontId="92" fillId="0" borderId="3" xfId="1" applyNumberFormat="1" applyFont="1" applyFill="1" applyBorder="1" applyAlignment="1">
      <alignment horizontal="right" vertical="center"/>
    </xf>
    <xf numFmtId="0" fontId="91" fillId="0" borderId="0" xfId="4" applyFont="1" applyFill="1" applyBorder="1" applyAlignment="1">
      <alignment horizontal="justify" vertical="center" wrapText="1"/>
    </xf>
    <xf numFmtId="173" fontId="92" fillId="0" borderId="16" xfId="4" applyNumberFormat="1" applyFont="1" applyFill="1" applyBorder="1" applyAlignment="1">
      <alignment horizontal="right" vertical="center"/>
    </xf>
    <xf numFmtId="173" fontId="92" fillId="0" borderId="0" xfId="4" applyNumberFormat="1" applyFont="1" applyFill="1" applyBorder="1" applyAlignment="1">
      <alignment horizontal="right" vertical="center"/>
    </xf>
    <xf numFmtId="168" fontId="92" fillId="0" borderId="16" xfId="1" applyNumberFormat="1" applyFont="1" applyFill="1" applyBorder="1" applyAlignment="1">
      <alignment horizontal="right" vertical="center"/>
    </xf>
    <xf numFmtId="0" fontId="91" fillId="0" borderId="0" xfId="4" applyFont="1" applyFill="1" applyBorder="1" applyAlignment="1">
      <alignment horizontal="left" vertical="center" wrapText="1"/>
    </xf>
    <xf numFmtId="173" fontId="92" fillId="0" borderId="15" xfId="4" applyNumberFormat="1" applyFont="1" applyFill="1" applyBorder="1" applyAlignment="1">
      <alignment horizontal="right" vertical="center"/>
    </xf>
    <xf numFmtId="168" fontId="92" fillId="0" borderId="15" xfId="1" applyNumberFormat="1" applyFont="1" applyFill="1" applyBorder="1" applyAlignment="1">
      <alignment horizontal="right" vertical="center"/>
    </xf>
    <xf numFmtId="0" fontId="91" fillId="0" borderId="8" xfId="3" applyFont="1" applyFill="1" applyBorder="1" applyAlignment="1">
      <alignment horizontal="right" vertical="center"/>
    </xf>
    <xf numFmtId="170" fontId="92" fillId="0" borderId="5" xfId="1" applyNumberFormat="1" applyFont="1" applyFill="1" applyBorder="1" applyAlignment="1">
      <alignment horizontal="center" vertical="center"/>
    </xf>
    <xf numFmtId="0" fontId="91" fillId="0" borderId="5" xfId="3" applyFont="1" applyFill="1" applyBorder="1" applyAlignment="1">
      <alignment horizontal="justify" vertical="center" wrapText="1"/>
    </xf>
    <xf numFmtId="173" fontId="92" fillId="0" borderId="5" xfId="3" applyNumberFormat="1" applyFont="1" applyFill="1" applyBorder="1" applyAlignment="1">
      <alignment horizontal="right" vertical="center"/>
    </xf>
    <xf numFmtId="168" fontId="92" fillId="0" borderId="10" xfId="1" applyNumberFormat="1" applyFont="1" applyFill="1" applyBorder="1" applyAlignment="1">
      <alignment horizontal="right" vertical="center"/>
    </xf>
    <xf numFmtId="0" fontId="91" fillId="0" borderId="6" xfId="3" applyFont="1" applyFill="1" applyBorder="1" applyAlignment="1">
      <alignment vertical="center"/>
    </xf>
    <xf numFmtId="0" fontId="91" fillId="0" borderId="12" xfId="3" applyFont="1" applyFill="1" applyBorder="1" applyAlignment="1">
      <alignment horizontal="right" vertical="center"/>
    </xf>
    <xf numFmtId="170" fontId="92" fillId="0" borderId="13" xfId="1" applyNumberFormat="1" applyFont="1" applyFill="1" applyBorder="1" applyAlignment="1">
      <alignment horizontal="center" vertical="center"/>
    </xf>
    <xf numFmtId="0" fontId="92" fillId="0" borderId="13" xfId="3" applyFont="1" applyFill="1" applyBorder="1" applyAlignment="1">
      <alignment horizontal="justify" vertical="center" wrapText="1"/>
    </xf>
    <xf numFmtId="173" fontId="92" fillId="0" borderId="13" xfId="3" applyNumberFormat="1" applyFont="1" applyFill="1" applyBorder="1" applyAlignment="1">
      <alignment horizontal="right" vertical="center"/>
    </xf>
    <xf numFmtId="0" fontId="91" fillId="0" borderId="14" xfId="3" applyFont="1" applyFill="1" applyBorder="1" applyAlignment="1">
      <alignment vertical="center"/>
    </xf>
    <xf numFmtId="173" fontId="92" fillId="0" borderId="16" xfId="3" applyNumberFormat="1" applyFont="1" applyFill="1" applyBorder="1" applyAlignment="1">
      <alignment horizontal="right" vertical="center"/>
    </xf>
    <xf numFmtId="173" fontId="92" fillId="0" borderId="15" xfId="3" applyNumberFormat="1" applyFont="1" applyFill="1" applyBorder="1" applyAlignment="1">
      <alignment horizontal="right" vertical="center"/>
    </xf>
    <xf numFmtId="168" fontId="91" fillId="0" borderId="0" xfId="3" applyNumberFormat="1" applyFont="1" applyFill="1" applyAlignment="1">
      <alignment vertical="center"/>
    </xf>
    <xf numFmtId="0" fontId="91" fillId="0" borderId="8" xfId="3" applyFont="1" applyFill="1" applyBorder="1" applyAlignment="1">
      <alignment vertical="center"/>
    </xf>
    <xf numFmtId="170" fontId="91" fillId="0" borderId="5" xfId="1" applyNumberFormat="1" applyFont="1" applyFill="1" applyBorder="1" applyAlignment="1">
      <alignment vertical="center"/>
    </xf>
    <xf numFmtId="0" fontId="91" fillId="0" borderId="5" xfId="3" applyFont="1" applyFill="1" applyBorder="1" applyAlignment="1">
      <alignment vertical="center"/>
    </xf>
    <xf numFmtId="170" fontId="91" fillId="0" borderId="0" xfId="1" applyNumberFormat="1" applyFont="1" applyFill="1" applyAlignment="1">
      <alignment vertical="center"/>
    </xf>
    <xf numFmtId="0" fontId="91" fillId="0" borderId="0" xfId="3" applyFont="1" applyFill="1" applyAlignment="1">
      <alignment horizontal="justify" vertical="center" wrapText="1"/>
    </xf>
    <xf numFmtId="164" fontId="16" fillId="0" borderId="0" xfId="1" quotePrefix="1" applyFont="1" applyFill="1" applyAlignment="1">
      <alignment horizontal="center" vertical="center"/>
    </xf>
    <xf numFmtId="168" fontId="7" fillId="9" borderId="2" xfId="1" applyNumberFormat="1" applyFont="1" applyFill="1" applyBorder="1" applyAlignment="1">
      <alignment horizontal="right" vertical="center" wrapText="1"/>
    </xf>
    <xf numFmtId="168" fontId="7" fillId="9" borderId="1" xfId="1" applyNumberFormat="1" applyFont="1" applyFill="1" applyBorder="1" applyAlignment="1">
      <alignment horizontal="right" vertical="center" wrapText="1"/>
    </xf>
    <xf numFmtId="0" fontId="67" fillId="0" borderId="0" xfId="0" applyFont="1" applyFill="1" applyAlignment="1">
      <alignment horizontal="center" vertical="center" wrapText="1"/>
    </xf>
    <xf numFmtId="0" fontId="17" fillId="0" borderId="42" xfId="0" applyFont="1" applyBorder="1" applyAlignment="1">
      <alignment horizontal="left" vertical="center" wrapText="1"/>
    </xf>
    <xf numFmtId="0" fontId="38" fillId="0" borderId="0" xfId="0" applyFont="1" applyBorder="1" applyAlignment="1">
      <alignment horizontal="center" vertical="center" wrapText="1"/>
    </xf>
    <xf numFmtId="0" fontId="16" fillId="0" borderId="47" xfId="0" applyFont="1" applyBorder="1" applyAlignment="1" applyProtection="1">
      <alignment horizontal="center"/>
    </xf>
    <xf numFmtId="0" fontId="16" fillId="0" borderId="0" xfId="0" applyFont="1" applyBorder="1" applyAlignment="1" applyProtection="1">
      <alignment horizontal="center"/>
    </xf>
    <xf numFmtId="0" fontId="16" fillId="0" borderId="48" xfId="0" applyFont="1" applyBorder="1" applyAlignment="1" applyProtection="1">
      <alignment horizontal="center"/>
    </xf>
    <xf numFmtId="0" fontId="79" fillId="0" borderId="12" xfId="0" applyFont="1" applyFill="1" applyBorder="1" applyAlignment="1">
      <alignment horizontal="center" vertical="center"/>
    </xf>
    <xf numFmtId="0" fontId="79" fillId="0" borderId="13" xfId="0" applyFont="1" applyFill="1" applyBorder="1" applyAlignment="1">
      <alignment horizontal="center" vertical="center"/>
    </xf>
    <xf numFmtId="0" fontId="79" fillId="0" borderId="9" xfId="0" applyFont="1" applyFill="1" applyBorder="1" applyAlignment="1">
      <alignment horizontal="center" vertical="center"/>
    </xf>
    <xf numFmtId="0" fontId="79" fillId="0" borderId="0" xfId="0" applyFont="1" applyFill="1" applyBorder="1" applyAlignment="1">
      <alignment horizontal="center" vertical="center"/>
    </xf>
    <xf numFmtId="15" fontId="79" fillId="0" borderId="9" xfId="0" quotePrefix="1" applyNumberFormat="1" applyFont="1" applyFill="1" applyBorder="1" applyAlignment="1">
      <alignment horizontal="center" vertical="center"/>
    </xf>
    <xf numFmtId="15" fontId="79" fillId="0" borderId="0" xfId="0" quotePrefix="1" applyNumberFormat="1" applyFont="1" applyFill="1" applyBorder="1" applyAlignment="1">
      <alignment horizontal="center" vertical="center"/>
    </xf>
    <xf numFmtId="168" fontId="84" fillId="0" borderId="0" xfId="0" applyNumberFormat="1" applyFont="1" applyFill="1" applyBorder="1" applyAlignment="1">
      <alignment horizontal="center"/>
    </xf>
    <xf numFmtId="166" fontId="84" fillId="0" borderId="13" xfId="0" applyNumberFormat="1" applyFont="1" applyFill="1" applyBorder="1" applyAlignment="1">
      <alignment horizontal="center"/>
    </xf>
    <xf numFmtId="166" fontId="84" fillId="0" borderId="0" xfId="0" applyNumberFormat="1" applyFont="1" applyFill="1" applyBorder="1" applyAlignment="1">
      <alignment horizontal="center"/>
    </xf>
    <xf numFmtId="166" fontId="84" fillId="0" borderId="0" xfId="0" quotePrefix="1" applyNumberFormat="1" applyFont="1" applyFill="1" applyBorder="1" applyAlignment="1">
      <alignment horizontal="center"/>
    </xf>
    <xf numFmtId="0" fontId="16" fillId="0" borderId="0" xfId="0" applyFont="1" applyFill="1" applyBorder="1" applyAlignment="1">
      <alignment horizontal="center"/>
    </xf>
    <xf numFmtId="0" fontId="14" fillId="0" borderId="0" xfId="0" applyFont="1" applyFill="1" applyBorder="1" applyAlignment="1">
      <alignment horizontal="center"/>
    </xf>
    <xf numFmtId="0" fontId="16" fillId="0" borderId="0" xfId="0" applyFont="1" applyBorder="1" applyAlignment="1">
      <alignment horizontal="center"/>
    </xf>
    <xf numFmtId="0" fontId="7" fillId="0" borderId="0" xfId="0" applyFont="1" applyBorder="1" applyAlignment="1">
      <alignment horizontal="center"/>
    </xf>
    <xf numFmtId="15" fontId="16" fillId="0" borderId="0" xfId="0" quotePrefix="1" applyNumberFormat="1" applyFont="1" applyBorder="1" applyAlignment="1">
      <alignment horizontal="center"/>
    </xf>
    <xf numFmtId="15" fontId="16" fillId="0" borderId="0" xfId="0" applyNumberFormat="1" applyFont="1" applyBorder="1" applyAlignment="1">
      <alignment horizontal="center"/>
    </xf>
    <xf numFmtId="0" fontId="16" fillId="0" borderId="13" xfId="0" applyFont="1" applyBorder="1" applyAlignment="1">
      <alignment horizontal="left" vertical="justify" wrapText="1"/>
    </xf>
    <xf numFmtId="164" fontId="7" fillId="0" borderId="0" xfId="1" applyNumberFormat="1" applyFont="1" applyAlignment="1">
      <alignment horizontal="center"/>
    </xf>
    <xf numFmtId="164" fontId="7" fillId="0" borderId="0" xfId="1" quotePrefix="1" applyNumberFormat="1" applyFont="1" applyAlignment="1">
      <alignment horizontal="center"/>
    </xf>
    <xf numFmtId="168" fontId="78" fillId="0" borderId="0" xfId="1" applyNumberFormat="1" applyFont="1" applyFill="1" applyBorder="1" applyAlignment="1">
      <alignment horizontal="center" vertical="center"/>
    </xf>
    <xf numFmtId="168" fontId="78" fillId="0" borderId="0" xfId="1" quotePrefix="1" applyNumberFormat="1" applyFont="1" applyFill="1" applyBorder="1" applyAlignment="1">
      <alignment horizontal="center" vertical="center"/>
    </xf>
    <xf numFmtId="0" fontId="92" fillId="0" borderId="12" xfId="0" applyFont="1" applyFill="1" applyBorder="1" applyAlignment="1">
      <alignment horizontal="center" vertical="center"/>
    </xf>
    <xf numFmtId="0" fontId="92" fillId="0" borderId="13" xfId="0" applyFont="1" applyFill="1" applyBorder="1" applyAlignment="1">
      <alignment horizontal="center" vertical="center"/>
    </xf>
    <xf numFmtId="0" fontId="92" fillId="0" borderId="14" xfId="0" applyFont="1" applyFill="1" applyBorder="1" applyAlignment="1">
      <alignment horizontal="center" vertical="center"/>
    </xf>
    <xf numFmtId="0" fontId="92" fillId="0" borderId="9" xfId="0" quotePrefix="1" applyFont="1" applyFill="1" applyBorder="1" applyAlignment="1">
      <alignment horizontal="center" vertical="center"/>
    </xf>
    <xf numFmtId="0" fontId="92" fillId="0" borderId="0" xfId="0" quotePrefix="1" applyFont="1" applyFill="1" applyBorder="1" applyAlignment="1">
      <alignment horizontal="center" vertical="center"/>
    </xf>
    <xf numFmtId="0" fontId="92" fillId="0" borderId="4" xfId="0" quotePrefix="1" applyFont="1" applyFill="1" applyBorder="1" applyAlignment="1">
      <alignment horizontal="center" vertical="center"/>
    </xf>
    <xf numFmtId="0" fontId="91" fillId="0" borderId="13" xfId="0" applyFont="1" applyBorder="1" applyAlignment="1">
      <alignment horizontal="left" vertical="center" wrapText="1"/>
    </xf>
    <xf numFmtId="0" fontId="91" fillId="0" borderId="0" xfId="0" applyFont="1" applyAlignment="1">
      <alignment horizontal="left" vertical="center" wrapText="1"/>
    </xf>
    <xf numFmtId="168" fontId="78" fillId="0" borderId="0" xfId="1" applyNumberFormat="1" applyFont="1" applyFill="1" applyBorder="1" applyAlignment="1">
      <alignment horizontal="center"/>
    </xf>
    <xf numFmtId="168" fontId="78" fillId="0" borderId="0" xfId="1" quotePrefix="1" applyNumberFormat="1" applyFont="1" applyFill="1" applyBorder="1" applyAlignment="1">
      <alignment horizontal="center"/>
    </xf>
    <xf numFmtId="0" fontId="7" fillId="0" borderId="0" xfId="0" applyFont="1" applyFill="1" applyAlignment="1">
      <alignment horizontal="center"/>
    </xf>
    <xf numFmtId="0" fontId="7" fillId="0" borderId="0" xfId="0" quotePrefix="1" applyFont="1" applyFill="1" applyAlignment="1">
      <alignment horizontal="center"/>
    </xf>
    <xf numFmtId="0" fontId="7" fillId="0" borderId="9" xfId="0" applyFont="1" applyFill="1" applyBorder="1" applyAlignment="1">
      <alignment horizontal="left"/>
    </xf>
    <xf numFmtId="0" fontId="7" fillId="0" borderId="0" xfId="0" applyFont="1" applyFill="1" applyBorder="1" applyAlignment="1">
      <alignment horizontal="left"/>
    </xf>
    <xf numFmtId="0" fontId="78" fillId="0" borderId="0" xfId="0" applyFont="1" applyFill="1" applyBorder="1" applyAlignment="1">
      <alignment horizontal="center"/>
    </xf>
    <xf numFmtId="0" fontId="78" fillId="0" borderId="0" xfId="0" quotePrefix="1" applyFont="1" applyFill="1" applyBorder="1" applyAlignment="1">
      <alignment horizontal="center"/>
    </xf>
    <xf numFmtId="0" fontId="92" fillId="0" borderId="0" xfId="0" applyFont="1" applyFill="1" applyAlignment="1">
      <alignment horizontal="center" vertical="center"/>
    </xf>
    <xf numFmtId="0" fontId="92" fillId="0" borderId="0" xfId="0" quotePrefix="1" applyFont="1" applyFill="1" applyAlignment="1">
      <alignment horizontal="center" vertical="center"/>
    </xf>
    <xf numFmtId="0" fontId="94" fillId="0" borderId="0" xfId="0" applyFont="1" applyFill="1" applyBorder="1" applyAlignment="1">
      <alignment vertical="center" wrapText="1"/>
    </xf>
    <xf numFmtId="0" fontId="94" fillId="0" borderId="13" xfId="0" applyFont="1" applyFill="1" applyBorder="1" applyAlignment="1">
      <alignment vertical="center" wrapText="1"/>
    </xf>
    <xf numFmtId="0" fontId="91" fillId="0" borderId="9" xfId="0" applyFont="1" applyFill="1" applyBorder="1" applyAlignment="1">
      <alignment horizontal="left" vertical="center" wrapText="1"/>
    </xf>
    <xf numFmtId="0" fontId="91" fillId="0" borderId="0" xfId="0" applyFont="1" applyFill="1" applyBorder="1" applyAlignment="1">
      <alignment horizontal="left" vertical="center" wrapText="1"/>
    </xf>
    <xf numFmtId="0" fontId="91" fillId="0" borderId="29" xfId="0" applyFont="1" applyFill="1" applyBorder="1" applyAlignment="1">
      <alignment horizontal="left" vertical="center" wrapText="1"/>
    </xf>
    <xf numFmtId="0" fontId="92" fillId="0" borderId="12" xfId="0" applyFont="1" applyFill="1" applyBorder="1" applyAlignment="1">
      <alignment horizontal="center" vertical="center" wrapText="1"/>
    </xf>
    <xf numFmtId="0" fontId="92" fillId="0" borderId="13" xfId="0" applyFont="1" applyFill="1" applyBorder="1" applyAlignment="1">
      <alignment horizontal="center" vertical="center" wrapText="1"/>
    </xf>
    <xf numFmtId="0" fontId="92" fillId="0" borderId="49" xfId="0" applyFont="1" applyFill="1" applyBorder="1" applyAlignment="1">
      <alignment horizontal="center" vertical="center" wrapText="1"/>
    </xf>
    <xf numFmtId="0" fontId="92" fillId="0" borderId="9" xfId="0" applyFont="1" applyFill="1" applyBorder="1" applyAlignment="1">
      <alignment horizontal="center" vertical="center" wrapText="1"/>
    </xf>
    <xf numFmtId="0" fontId="92" fillId="0" borderId="0" xfId="0" applyFont="1" applyFill="1" applyBorder="1" applyAlignment="1">
      <alignment horizontal="center" vertical="center" wrapText="1"/>
    </xf>
    <xf numFmtId="0" fontId="92" fillId="0" borderId="29" xfId="0" applyFont="1" applyFill="1" applyBorder="1" applyAlignment="1">
      <alignment horizontal="center" vertical="center" wrapText="1"/>
    </xf>
    <xf numFmtId="0" fontId="91" fillId="0" borderId="9" xfId="0" applyFont="1" applyFill="1" applyBorder="1" applyAlignment="1">
      <alignment horizontal="center" vertical="center" wrapText="1"/>
    </xf>
    <xf numFmtId="0" fontId="91" fillId="0" borderId="0" xfId="0" applyFont="1" applyFill="1" applyBorder="1" applyAlignment="1">
      <alignment horizontal="center" vertical="center" wrapText="1"/>
    </xf>
    <xf numFmtId="0" fontId="91" fillId="0" borderId="29"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9" xfId="0" applyFont="1" applyBorder="1" applyAlignment="1">
      <alignment horizontal="center" vertical="center" wrapText="1"/>
    </xf>
    <xf numFmtId="0" fontId="7" fillId="0" borderId="9" xfId="0" applyFont="1" applyBorder="1" applyAlignment="1">
      <alignment horizontal="left" vertical="center" wrapText="1"/>
    </xf>
    <xf numFmtId="0" fontId="7" fillId="0" borderId="0"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29" xfId="0" applyFont="1" applyBorder="1" applyAlignment="1">
      <alignment horizontal="left" vertical="center" wrapText="1"/>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9" xfId="0" quotePrefix="1" applyFont="1" applyBorder="1" applyAlignment="1">
      <alignment horizontal="center" vertical="center"/>
    </xf>
    <xf numFmtId="0" fontId="7" fillId="0" borderId="0" xfId="0" quotePrefix="1" applyFont="1" applyBorder="1" applyAlignment="1">
      <alignment horizontal="center" vertical="center"/>
    </xf>
    <xf numFmtId="0" fontId="7" fillId="0" borderId="4" xfId="0" quotePrefix="1" applyFont="1" applyBorder="1" applyAlignment="1">
      <alignment horizontal="center" vertical="center"/>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12" xfId="0" applyFont="1" applyBorder="1" applyAlignment="1">
      <alignment horizontal="center"/>
    </xf>
    <xf numFmtId="0" fontId="7" fillId="0" borderId="13" xfId="0" applyFont="1" applyBorder="1" applyAlignment="1">
      <alignment horizontal="center"/>
    </xf>
    <xf numFmtId="0" fontId="7" fillId="0" borderId="14" xfId="0" applyFont="1" applyBorder="1" applyAlignment="1">
      <alignment horizontal="center"/>
    </xf>
    <xf numFmtId="0" fontId="7" fillId="0" borderId="0" xfId="0" quotePrefix="1" applyFont="1" applyBorder="1" applyAlignment="1">
      <alignment horizontal="center"/>
    </xf>
    <xf numFmtId="0" fontId="92" fillId="0" borderId="12" xfId="3" applyFont="1" applyFill="1" applyBorder="1" applyAlignment="1">
      <alignment horizontal="center" vertical="center"/>
    </xf>
    <xf numFmtId="0" fontId="92" fillId="0" borderId="13" xfId="3" applyFont="1" applyFill="1" applyBorder="1" applyAlignment="1">
      <alignment horizontal="center" vertical="center"/>
    </xf>
    <xf numFmtId="0" fontId="92" fillId="0" borderId="14" xfId="3" applyFont="1" applyFill="1" applyBorder="1" applyAlignment="1">
      <alignment horizontal="center" vertical="center"/>
    </xf>
    <xf numFmtId="0" fontId="92" fillId="0" borderId="9" xfId="3" quotePrefix="1" applyFont="1" applyFill="1" applyBorder="1" applyAlignment="1">
      <alignment horizontal="center" vertical="center"/>
    </xf>
    <xf numFmtId="0" fontId="92" fillId="0" borderId="0" xfId="3" quotePrefix="1" applyFont="1" applyFill="1" applyBorder="1" applyAlignment="1">
      <alignment horizontal="center" vertical="center"/>
    </xf>
    <xf numFmtId="0" fontId="92" fillId="0" borderId="4" xfId="3" quotePrefix="1" applyFont="1" applyFill="1" applyBorder="1" applyAlignment="1">
      <alignment horizontal="center" vertical="center"/>
    </xf>
    <xf numFmtId="0" fontId="17" fillId="0" borderId="0" xfId="0" applyFont="1" applyAlignment="1">
      <alignment wrapText="1"/>
    </xf>
    <xf numFmtId="168" fontId="17" fillId="0" borderId="0" xfId="1" applyNumberFormat="1" applyFont="1" applyAlignment="1">
      <alignment wrapText="1"/>
    </xf>
    <xf numFmtId="0" fontId="17" fillId="0" borderId="0" xfId="0" applyFont="1" applyBorder="1" applyAlignment="1">
      <alignment wrapText="1"/>
    </xf>
    <xf numFmtId="168" fontId="17" fillId="0" borderId="0" xfId="1" applyNumberFormat="1" applyFont="1" applyBorder="1" applyAlignment="1">
      <alignment wrapText="1"/>
    </xf>
    <xf numFmtId="0" fontId="26" fillId="0" borderId="9" xfId="0" applyFont="1" applyBorder="1" applyAlignment="1">
      <alignment horizontal="center"/>
    </xf>
    <xf numFmtId="0" fontId="26" fillId="0" borderId="0" xfId="0" applyFont="1" applyBorder="1" applyAlignment="1">
      <alignment horizontal="center"/>
    </xf>
    <xf numFmtId="0" fontId="26" fillId="0" borderId="4" xfId="0" applyFont="1" applyBorder="1" applyAlignment="1">
      <alignment horizontal="center"/>
    </xf>
    <xf numFmtId="0" fontId="26" fillId="0" borderId="9" xfId="0" quotePrefix="1" applyFont="1" applyBorder="1" applyAlignment="1">
      <alignment horizontal="center"/>
    </xf>
    <xf numFmtId="0" fontId="26" fillId="0" borderId="0" xfId="0" quotePrefix="1" applyFont="1" applyBorder="1" applyAlignment="1">
      <alignment horizontal="center"/>
    </xf>
    <xf numFmtId="0" fontId="26" fillId="0" borderId="4" xfId="0" quotePrefix="1" applyFont="1" applyBorder="1" applyAlignment="1">
      <alignment horizontal="center"/>
    </xf>
    <xf numFmtId="0" fontId="17" fillId="0" borderId="0" xfId="0" applyFont="1" applyBorder="1" applyAlignment="1">
      <alignment horizontal="left" wrapText="1"/>
    </xf>
    <xf numFmtId="0" fontId="17" fillId="0" borderId="0" xfId="0" applyFont="1" applyBorder="1" applyAlignment="1">
      <alignment horizontal="left"/>
    </xf>
    <xf numFmtId="0" fontId="47" fillId="0" borderId="33" xfId="0" applyFont="1" applyBorder="1" applyAlignment="1">
      <alignment vertical="center" wrapText="1"/>
    </xf>
    <xf numFmtId="0" fontId="47" fillId="0" borderId="34" xfId="0" applyFont="1" applyBorder="1" applyAlignment="1">
      <alignment vertical="center" wrapText="1"/>
    </xf>
    <xf numFmtId="0" fontId="47" fillId="0" borderId="35" xfId="0" applyFont="1" applyBorder="1" applyAlignment="1">
      <alignment vertical="center" wrapText="1"/>
    </xf>
    <xf numFmtId="0" fontId="47" fillId="0" borderId="33" xfId="0" applyFont="1" applyBorder="1" applyAlignment="1">
      <alignment horizontal="left" vertical="center" wrapText="1"/>
    </xf>
    <xf numFmtId="0" fontId="47" fillId="0" borderId="35" xfId="0" applyFont="1" applyBorder="1" applyAlignment="1">
      <alignment horizontal="left" vertical="center" wrapText="1"/>
    </xf>
    <xf numFmtId="0" fontId="20" fillId="0" borderId="33" xfId="0" applyFont="1" applyBorder="1" applyAlignment="1">
      <alignment vertical="center" wrapText="1"/>
    </xf>
    <xf numFmtId="0" fontId="20" fillId="0" borderId="35" xfId="0" applyFont="1" applyBorder="1" applyAlignment="1">
      <alignment vertical="center" wrapText="1"/>
    </xf>
    <xf numFmtId="0" fontId="0" fillId="0" borderId="35" xfId="0" applyBorder="1" applyAlignment="1">
      <alignment horizontal="left" vertical="center" wrapText="1"/>
    </xf>
    <xf numFmtId="0" fontId="45" fillId="0" borderId="0" xfId="0" applyFont="1" applyAlignment="1">
      <alignment horizontal="left" vertical="center" wrapText="1"/>
    </xf>
    <xf numFmtId="0" fontId="39" fillId="0" borderId="0" xfId="0" applyFont="1" applyAlignment="1">
      <alignment horizontal="left" vertical="center" wrapText="1"/>
    </xf>
    <xf numFmtId="0" fontId="36" fillId="0" borderId="0" xfId="0" applyFont="1" applyAlignment="1">
      <alignment horizontal="center" vertical="center"/>
    </xf>
    <xf numFmtId="0" fontId="36" fillId="0" borderId="0" xfId="0" quotePrefix="1" applyFont="1" applyAlignment="1">
      <alignment horizontal="center" vertical="center"/>
    </xf>
    <xf numFmtId="0" fontId="19" fillId="0" borderId="8" xfId="0" applyFont="1" applyBorder="1" applyAlignment="1">
      <alignment vertical="top" wrapText="1"/>
    </xf>
    <xf numFmtId="0" fontId="19" fillId="0" borderId="5" xfId="0" applyFont="1" applyBorder="1" applyAlignment="1">
      <alignment vertical="top" wrapText="1"/>
    </xf>
    <xf numFmtId="0" fontId="19" fillId="0" borderId="0" xfId="0" applyFont="1" applyBorder="1" applyAlignment="1">
      <alignment horizontal="right" vertical="top"/>
    </xf>
    <xf numFmtId="0" fontId="19" fillId="0" borderId="9" xfId="0" applyFont="1" applyBorder="1" applyAlignment="1">
      <alignment vertical="top"/>
    </xf>
    <xf numFmtId="0" fontId="19" fillId="0" borderId="0" xfId="0" applyFont="1" applyBorder="1" applyAlignment="1">
      <alignment vertical="top"/>
    </xf>
    <xf numFmtId="0" fontId="22" fillId="0" borderId="9" xfId="0" applyFont="1" applyBorder="1" applyAlignment="1">
      <alignment horizontal="justify" vertical="top"/>
    </xf>
    <xf numFmtId="0" fontId="22" fillId="0" borderId="0" xfId="0" applyFont="1" applyBorder="1" applyAlignment="1">
      <alignment horizontal="justify" vertical="top"/>
    </xf>
    <xf numFmtId="0" fontId="14" fillId="0" borderId="0" xfId="0" applyFont="1" applyAlignment="1">
      <alignment horizontal="center"/>
    </xf>
    <xf numFmtId="0" fontId="22" fillId="5" borderId="2" xfId="0" applyFont="1" applyFill="1" applyBorder="1" applyAlignment="1">
      <alignment horizontal="center" vertical="top" wrapText="1"/>
    </xf>
    <xf numFmtId="168" fontId="89" fillId="0" borderId="5" xfId="1" applyNumberFormat="1" applyFont="1" applyFill="1" applyBorder="1" applyAlignment="1">
      <alignment horizontal="right" vertical="center" wrapText="1"/>
    </xf>
    <xf numFmtId="0" fontId="78" fillId="0" borderId="0" xfId="0" applyFont="1" applyFill="1" applyAlignment="1">
      <alignment horizontal="center" vertical="center"/>
    </xf>
    <xf numFmtId="168" fontId="86" fillId="0" borderId="43" xfId="1" applyNumberFormat="1" applyFont="1" applyFill="1" applyBorder="1" applyAlignment="1">
      <alignment horizontal="center" vertical="center" wrapText="1"/>
    </xf>
    <xf numFmtId="168" fontId="86" fillId="0" borderId="10" xfId="1" applyNumberFormat="1" applyFont="1" applyFill="1" applyBorder="1" applyAlignment="1">
      <alignment horizontal="center" vertical="center" wrapText="1"/>
    </xf>
    <xf numFmtId="168" fontId="86" fillId="0" borderId="11" xfId="1" applyNumberFormat="1" applyFont="1" applyFill="1" applyBorder="1" applyAlignment="1">
      <alignment horizontal="center" vertical="center" wrapText="1"/>
    </xf>
    <xf numFmtId="0" fontId="7" fillId="0" borderId="0" xfId="0" applyFont="1" applyAlignment="1">
      <alignment horizontal="center" vertical="center"/>
    </xf>
    <xf numFmtId="168" fontId="24" fillId="0" borderId="13" xfId="1" applyNumberFormat="1" applyFont="1" applyBorder="1" applyAlignment="1">
      <alignment horizontal="center" vertical="center" wrapText="1"/>
    </xf>
    <xf numFmtId="0" fontId="24" fillId="0" borderId="13" xfId="0" applyFont="1" applyBorder="1" applyAlignment="1">
      <alignment horizontal="center" vertical="center" wrapText="1"/>
    </xf>
    <xf numFmtId="0" fontId="24" fillId="0" borderId="14" xfId="0" applyFont="1" applyBorder="1" applyAlignment="1">
      <alignment horizontal="center" vertical="center" wrapText="1"/>
    </xf>
    <xf numFmtId="0" fontId="36" fillId="0" borderId="12" xfId="0" applyFont="1" applyBorder="1" applyAlignment="1">
      <alignment vertical="top" wrapText="1"/>
    </xf>
    <xf numFmtId="0" fontId="36" fillId="0" borderId="9" xfId="0" applyFont="1" applyBorder="1" applyAlignment="1">
      <alignment vertical="top" wrapText="1"/>
    </xf>
    <xf numFmtId="168" fontId="36" fillId="0" borderId="13" xfId="1" applyNumberFormat="1" applyFont="1" applyBorder="1" applyAlignment="1">
      <alignment horizontal="center" vertical="top" wrapText="1"/>
    </xf>
    <xf numFmtId="168" fontId="36" fillId="0" borderId="0" xfId="1" applyNumberFormat="1" applyFont="1" applyBorder="1" applyAlignment="1">
      <alignment horizontal="center" vertical="top" wrapText="1"/>
    </xf>
    <xf numFmtId="0" fontId="36" fillId="0" borderId="13" xfId="0" applyFont="1" applyBorder="1" applyAlignment="1">
      <alignment horizontal="center" vertical="top" wrapText="1"/>
    </xf>
    <xf numFmtId="0" fontId="36" fillId="0" borderId="0" xfId="0" applyFont="1" applyBorder="1" applyAlignment="1">
      <alignment horizontal="center" vertical="top" wrapText="1"/>
    </xf>
    <xf numFmtId="0" fontId="36" fillId="0" borderId="0" xfId="0" applyFont="1" applyAlignment="1">
      <alignment horizontal="center"/>
    </xf>
    <xf numFmtId="0" fontId="36" fillId="0" borderId="4" xfId="0" applyFont="1" applyBorder="1" applyAlignment="1">
      <alignment horizontal="center" vertical="top" wrapText="1"/>
    </xf>
    <xf numFmtId="0" fontId="36" fillId="0" borderId="14" xfId="0" applyFont="1" applyBorder="1" applyAlignment="1">
      <alignment horizontal="center" vertical="top" wrapText="1"/>
    </xf>
    <xf numFmtId="0" fontId="36" fillId="0" borderId="0" xfId="0" applyFont="1" applyBorder="1" applyAlignment="1">
      <alignment horizontal="center"/>
    </xf>
    <xf numFmtId="0" fontId="7" fillId="0" borderId="1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0" xfId="0" applyFont="1" applyAlignment="1">
      <alignment horizontal="center" vertical="center" wrapText="1"/>
    </xf>
    <xf numFmtId="0" fontId="7" fillId="0" borderId="2" xfId="0" applyFont="1" applyBorder="1" applyAlignment="1">
      <alignment horizontal="center" vertical="center" wrapText="1"/>
    </xf>
    <xf numFmtId="0" fontId="6" fillId="0" borderId="0" xfId="0" applyFont="1" applyAlignment="1">
      <alignment vertical="center" wrapText="1"/>
    </xf>
    <xf numFmtId="0" fontId="14" fillId="5" borderId="16" xfId="0" applyFont="1" applyFill="1" applyBorder="1" applyAlignment="1">
      <alignment horizontal="center" vertical="top" wrapText="1"/>
    </xf>
    <xf numFmtId="0" fontId="14" fillId="5" borderId="1" xfId="0" applyFont="1" applyFill="1" applyBorder="1" applyAlignment="1">
      <alignment horizontal="center" vertical="top" wrapText="1"/>
    </xf>
    <xf numFmtId="0" fontId="14" fillId="5" borderId="15" xfId="0" applyFont="1" applyFill="1" applyBorder="1" applyAlignment="1">
      <alignment horizontal="center" vertical="top" wrapText="1"/>
    </xf>
    <xf numFmtId="0" fontId="14" fillId="0" borderId="0" xfId="0" applyFont="1" applyAlignment="1">
      <alignment horizontal="center" vertical="top" wrapText="1"/>
    </xf>
    <xf numFmtId="0" fontId="7" fillId="0" borderId="0" xfId="0" applyFont="1" applyAlignment="1">
      <alignment horizontal="center" vertical="top" wrapText="1"/>
    </xf>
    <xf numFmtId="0" fontId="7" fillId="0" borderId="1" xfId="0" applyFont="1" applyBorder="1" applyAlignment="1">
      <alignment horizontal="center" vertical="center" wrapText="1"/>
    </xf>
    <xf numFmtId="0" fontId="6" fillId="0" borderId="5" xfId="0" applyFont="1" applyBorder="1" applyAlignment="1">
      <alignment horizontal="center" vertical="center" wrapText="1"/>
    </xf>
    <xf numFmtId="0" fontId="16" fillId="0" borderId="0" xfId="0" applyFont="1" applyBorder="1" applyAlignment="1">
      <alignment horizontal="center" vertical="center" wrapText="1"/>
    </xf>
    <xf numFmtId="0" fontId="17" fillId="0" borderId="0" xfId="0" applyFont="1" applyAlignment="1">
      <alignment horizontal="left" vertical="top"/>
    </xf>
    <xf numFmtId="0" fontId="17" fillId="0" borderId="0" xfId="0" applyFont="1" applyAlignment="1">
      <alignment horizontal="left" vertical="top" wrapText="1"/>
    </xf>
    <xf numFmtId="0" fontId="17" fillId="0" borderId="0" xfId="0" applyFont="1" applyAlignment="1">
      <alignment horizontal="left" wrapText="1"/>
    </xf>
    <xf numFmtId="0" fontId="14" fillId="0" borderId="50" xfId="0" applyFont="1" applyBorder="1" applyAlignment="1">
      <alignment horizontal="center"/>
    </xf>
    <xf numFmtId="0" fontId="14" fillId="0" borderId="32" xfId="0" applyFont="1" applyBorder="1" applyAlignment="1">
      <alignment horizontal="center"/>
    </xf>
    <xf numFmtId="0" fontId="14" fillId="0" borderId="51" xfId="0" applyFont="1" applyBorder="1" applyAlignment="1">
      <alignment horizontal="center"/>
    </xf>
    <xf numFmtId="0" fontId="14" fillId="0" borderId="50" xfId="0" applyFont="1" applyBorder="1" applyAlignment="1">
      <alignment horizontal="center" wrapText="1"/>
    </xf>
    <xf numFmtId="0" fontId="14" fillId="0" borderId="32" xfId="0" applyFont="1" applyBorder="1" applyAlignment="1">
      <alignment horizontal="center" wrapText="1"/>
    </xf>
    <xf numFmtId="0" fontId="17" fillId="0" borderId="26" xfId="0" applyFont="1" applyBorder="1" applyAlignment="1">
      <alignment horizontal="left" vertical="top" wrapText="1"/>
    </xf>
    <xf numFmtId="0" fontId="17" fillId="0" borderId="27" xfId="0" applyFont="1" applyBorder="1" applyAlignment="1">
      <alignment horizontal="left" vertical="top" wrapText="1"/>
    </xf>
    <xf numFmtId="0" fontId="17" fillId="0" borderId="28" xfId="0" applyFont="1" applyBorder="1" applyAlignment="1">
      <alignment horizontal="left" vertical="top" wrapText="1"/>
    </xf>
    <xf numFmtId="0" fontId="38" fillId="0" borderId="0" xfId="0" applyFont="1" applyBorder="1" applyAlignment="1">
      <alignment horizontal="center" vertical="top" wrapText="1"/>
    </xf>
  </cellXfs>
  <cellStyles count="6">
    <cellStyle name="Comma" xfId="1" builtinId="3"/>
    <cellStyle name="Normal" xfId="0" builtinId="0"/>
    <cellStyle name="Normal 3" xfId="2"/>
    <cellStyle name="Normal_CHANGE IN ACCOUNTING POLICY" xfId="3"/>
    <cellStyle name="Normal_CHANGE IN ACCOUNTING POLICY 5" xfId="4"/>
    <cellStyle name="Percent" xfId="5"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4.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hartsheet" Target="chartsheets/sheet5.xml"/><Relationship Id="rId42" Type="http://schemas.openxmlformats.org/officeDocument/2006/relationships/externalLink" Target="externalLinks/externalLink1.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hartsheet" Target="chartsheets/sheet4.xml"/><Relationship Id="rId38" Type="http://schemas.openxmlformats.org/officeDocument/2006/relationships/worksheet" Target="worksheets/sheet33.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3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hartsheet" Target="chartsheets/sheet3.xml"/><Relationship Id="rId37" Type="http://schemas.openxmlformats.org/officeDocument/2006/relationships/worksheet" Target="worksheets/sheet32.xml"/><Relationship Id="rId40" Type="http://schemas.openxmlformats.org/officeDocument/2006/relationships/worksheet" Target="worksheets/sheet35.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hartsheet" Target="chartsheets/sheet2.xml"/><Relationship Id="rId44"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chartsheet" Target="chartsheets/sheet1.xml"/><Relationship Id="rId35" Type="http://schemas.openxmlformats.org/officeDocument/2006/relationships/worksheet" Target="worksheets/sheet30.xml"/><Relationship Id="rId43"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n-ZA"/>
  <c:chart>
    <c:title>
      <c:tx>
        <c:rich>
          <a:bodyPr/>
          <a:lstStyle/>
          <a:p>
            <a:pPr>
              <a:defRPr sz="1800" b="1" i="0" u="none" strike="noStrike" baseline="0">
                <a:solidFill>
                  <a:srgbClr val="000000"/>
                </a:solidFill>
                <a:latin typeface="Calibri"/>
                <a:ea typeface="Calibri"/>
                <a:cs typeface="Calibri"/>
              </a:defRPr>
            </a:pPr>
            <a:r>
              <a:rPr lang="en-ZA"/>
              <a:t>OPERATING REVENUE 2006/07 </a:t>
            </a:r>
          </a:p>
        </c:rich>
      </c:tx>
      <c:spPr>
        <a:noFill/>
        <a:ln w="25400">
          <a:noFill/>
        </a:ln>
      </c:spPr>
    </c:title>
    <c:view3D>
      <c:rotX val="30"/>
      <c:perspective val="30"/>
    </c:view3D>
    <c:plotArea>
      <c:layout>
        <c:manualLayout>
          <c:layoutTarget val="inner"/>
          <c:xMode val="edge"/>
          <c:yMode val="edge"/>
          <c:x val="0.12527472527472364"/>
          <c:y val="0.18829113924050644"/>
          <c:w val="0.70329670329670335"/>
          <c:h val="0.63132911392405688"/>
        </c:manualLayout>
      </c:layout>
      <c:pie3DChart>
        <c:varyColors val="1"/>
        <c:ser>
          <c:idx val="0"/>
          <c:order val="0"/>
          <c:explosion val="25"/>
          <c:dLbls>
            <c:dLbl>
              <c:idx val="0"/>
              <c:layout>
                <c:manualLayout>
                  <c:x val="4.4627470764364865E-2"/>
                  <c:y val="-1.0195946409311638E-2"/>
                </c:manualLayout>
              </c:layout>
              <c:dLblPos val="bestFit"/>
              <c:showCatName val="1"/>
              <c:showPercent val="1"/>
            </c:dLbl>
            <c:dLbl>
              <c:idx val="1"/>
              <c:layout>
                <c:manualLayout>
                  <c:x val="-1.4917662410425496E-2"/>
                  <c:y val="0.15324443114444905"/>
                </c:manualLayout>
              </c:layout>
              <c:dLblPos val="bestFit"/>
              <c:showCatName val="1"/>
              <c:showPercent val="1"/>
            </c:dLbl>
            <c:dLbl>
              <c:idx val="2"/>
              <c:layout>
                <c:manualLayout>
                  <c:x val="6.6554267171934925E-2"/>
                  <c:y val="-2.0779325661215861E-2"/>
                </c:manualLayout>
              </c:layout>
              <c:dLblPos val="bestFit"/>
              <c:showCatName val="1"/>
              <c:showPercent val="1"/>
            </c:dLbl>
            <c:dLbl>
              <c:idx val="4"/>
              <c:layout>
                <c:manualLayout>
                  <c:x val="2.7501013053886185E-3"/>
                  <c:y val="2.4749222261706602E-2"/>
                </c:manualLayout>
              </c:layout>
              <c:dLblPos val="bestFit"/>
              <c:showCatName val="1"/>
              <c:showPercent val="1"/>
            </c:dLbl>
            <c:dLbl>
              <c:idx val="5"/>
              <c:layout>
                <c:manualLayout>
                  <c:x val="-1.6106127507752518E-2"/>
                  <c:y val="4.8931116389548703E-2"/>
                </c:manualLayout>
              </c:layout>
              <c:dLblPos val="bestFit"/>
              <c:showCatName val="1"/>
              <c:showPercent val="1"/>
            </c:dLbl>
            <c:dLbl>
              <c:idx val="6"/>
              <c:layout>
                <c:manualLayout>
                  <c:x val="2.2333008085805409E-2"/>
                  <c:y val="6.685999914346373E-2"/>
                </c:manualLayout>
              </c:layout>
              <c:dLblPos val="bestFit"/>
              <c:showCatName val="1"/>
              <c:showPercent val="1"/>
            </c:dLbl>
            <c:dLbl>
              <c:idx val="9"/>
              <c:layout>
                <c:manualLayout>
                  <c:x val="-4.0496341831667532E-2"/>
                  <c:y val="1.3258520832164401E-2"/>
                </c:manualLayout>
              </c:layout>
              <c:dLblPos val="bestFit"/>
              <c:showCatName val="1"/>
              <c:showPercent val="1"/>
            </c:dLbl>
            <c:spPr>
              <a:noFill/>
              <a:ln w="25400">
                <a:noFill/>
              </a:ln>
            </c:spPr>
            <c:txPr>
              <a:bodyPr/>
              <a:lstStyle/>
              <a:p>
                <a:pPr>
                  <a:defRPr sz="800" b="0" i="0" u="none" strike="noStrike" baseline="0">
                    <a:solidFill>
                      <a:srgbClr val="000000"/>
                    </a:solidFill>
                    <a:latin typeface="Arial"/>
                    <a:ea typeface="Arial"/>
                    <a:cs typeface="Arial"/>
                  </a:defRPr>
                </a:pPr>
                <a:endParaRPr lang="en-US"/>
              </a:p>
            </c:txPr>
            <c:showCatName val="1"/>
            <c:showPercent val="1"/>
            <c:showLeaderLines val="1"/>
          </c:dLbls>
          <c:cat>
            <c:strRef>
              <c:f>'Graphs - Linked '!$A$3:$A$12</c:f>
              <c:strCache>
                <c:ptCount val="10"/>
                <c:pt idx="0">
                  <c:v>Property Rates</c:v>
                </c:pt>
                <c:pt idx="1">
                  <c:v>Electricity Charges</c:v>
                </c:pt>
                <c:pt idx="2">
                  <c:v>Refuse Charges</c:v>
                </c:pt>
                <c:pt idx="3">
                  <c:v>Sereage Charges</c:v>
                </c:pt>
                <c:pt idx="4">
                  <c:v>Water Charges</c:v>
                </c:pt>
                <c:pt idx="5">
                  <c:v>Interest Earned</c:v>
                </c:pt>
                <c:pt idx="6">
                  <c:v>Gov. Grants: OPEX</c:v>
                </c:pt>
                <c:pt idx="7">
                  <c:v>Gov. Grants: Capex</c:v>
                </c:pt>
                <c:pt idx="8">
                  <c:v>Sales of Erven &amp; Coal</c:v>
                </c:pt>
                <c:pt idx="9">
                  <c:v>Other Revenue</c:v>
                </c:pt>
              </c:strCache>
            </c:strRef>
          </c:cat>
          <c:val>
            <c:numRef>
              <c:f>'Graphs - Linked '!$B$3:$B$12</c:f>
              <c:numCache>
                <c:formatCode>_(* #,##0_);_(* \(#,##0\);_(* "-"??_);_(@_)</c:formatCode>
                <c:ptCount val="10"/>
                <c:pt idx="0">
                  <c:v>6838330.1700000009</c:v>
                </c:pt>
                <c:pt idx="1">
                  <c:v>20757570.349999998</c:v>
                </c:pt>
                <c:pt idx="2">
                  <c:v>3910829.34</c:v>
                </c:pt>
                <c:pt idx="3">
                  <c:v>0</c:v>
                </c:pt>
                <c:pt idx="4">
                  <c:v>0</c:v>
                </c:pt>
                <c:pt idx="5">
                  <c:v>1596555.01</c:v>
                </c:pt>
                <c:pt idx="6">
                  <c:v>12943512</c:v>
                </c:pt>
                <c:pt idx="7">
                  <c:v>2043290.17</c:v>
                </c:pt>
                <c:pt idx="8">
                  <c:v>0</c:v>
                </c:pt>
                <c:pt idx="9">
                  <c:v>26187751.390000001</c:v>
                </c:pt>
              </c:numCache>
            </c:numRef>
          </c:val>
        </c:ser>
        <c:dLbls>
          <c:showCatName val="1"/>
          <c:showPercent val="1"/>
        </c:dLbls>
      </c:pie3DChart>
      <c:spPr>
        <a:noFill/>
        <a:ln w="25400">
          <a:noFill/>
        </a:ln>
      </c:spPr>
    </c:plotArea>
    <c:plotVisOnly val="1"/>
    <c:dispBlanksAs val="zero"/>
  </c:chart>
  <c:txPr>
    <a:bodyPr/>
    <a:lstStyle/>
    <a:p>
      <a:pPr>
        <a:defRPr sz="1000" b="0" i="0" u="none" strike="noStrike" baseline="0">
          <a:solidFill>
            <a:srgbClr val="000000"/>
          </a:solidFill>
          <a:latin typeface="Calibri"/>
          <a:ea typeface="Calibri"/>
          <a:cs typeface="Calibri"/>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c:lang val="en-ZA"/>
  <c:chart>
    <c:title>
      <c:tx>
        <c:rich>
          <a:bodyPr/>
          <a:lstStyle/>
          <a:p>
            <a:pPr>
              <a:defRPr sz="1800" b="1" i="0" u="none" strike="noStrike" baseline="0">
                <a:solidFill>
                  <a:srgbClr val="000000"/>
                </a:solidFill>
                <a:latin typeface="Calibri"/>
                <a:ea typeface="Calibri"/>
                <a:cs typeface="Calibri"/>
              </a:defRPr>
            </a:pPr>
            <a:r>
              <a:rPr lang="en-ZA"/>
              <a:t>OPERATING EXPENDITURE 2006/07</a:t>
            </a:r>
          </a:p>
        </c:rich>
      </c:tx>
      <c:spPr>
        <a:noFill/>
        <a:ln w="25400">
          <a:noFill/>
        </a:ln>
      </c:spPr>
    </c:title>
    <c:view3D>
      <c:rotX val="30"/>
      <c:perspective val="30"/>
    </c:view3D>
    <c:plotArea>
      <c:layout>
        <c:manualLayout>
          <c:layoutTarget val="inner"/>
          <c:xMode val="edge"/>
          <c:yMode val="edge"/>
          <c:x val="9.1095189355168887E-2"/>
          <c:y val="0.13765822784810128"/>
          <c:w val="0.80552712384851588"/>
          <c:h val="0.77848101265824032"/>
        </c:manualLayout>
      </c:layout>
      <c:pie3DChart>
        <c:varyColors val="1"/>
        <c:ser>
          <c:idx val="0"/>
          <c:order val="0"/>
          <c:explosion val="25"/>
          <c:dLbls>
            <c:dLbl>
              <c:idx val="0"/>
              <c:layout>
                <c:manualLayout>
                  <c:x val="3.0717497692574442E-2"/>
                  <c:y val="-6.7544502086915731E-3"/>
                </c:manualLayout>
              </c:layout>
              <c:dLblPos val="bestFit"/>
              <c:showCatName val="1"/>
              <c:showPercent val="1"/>
            </c:dLbl>
            <c:dLbl>
              <c:idx val="1"/>
              <c:layout>
                <c:manualLayout>
                  <c:x val="9.9290687039412892E-2"/>
                  <c:y val="3.8729278765406252E-3"/>
                </c:manualLayout>
              </c:layout>
              <c:dLblPos val="bestFit"/>
              <c:showCatName val="1"/>
              <c:showPercent val="1"/>
            </c:dLbl>
            <c:dLbl>
              <c:idx val="2"/>
              <c:layout>
                <c:manualLayout>
                  <c:x val="0.17040883689812286"/>
                  <c:y val="-4.9389881955268821E-3"/>
                </c:manualLayout>
              </c:layout>
              <c:dLblPos val="bestFit"/>
              <c:showCatName val="1"/>
              <c:showPercent val="1"/>
            </c:dLbl>
            <c:dLbl>
              <c:idx val="4"/>
              <c:layout>
                <c:manualLayout>
                  <c:x val="-1.2697072026692666E-2"/>
                  <c:y val="0.18140514567340757"/>
                </c:manualLayout>
              </c:layout>
              <c:dLblPos val="bestFit"/>
              <c:showCatName val="1"/>
              <c:showPercent val="1"/>
            </c:dLbl>
            <c:dLbl>
              <c:idx val="5"/>
              <c:layout>
                <c:manualLayout>
                  <c:x val="4.1314216480360613E-2"/>
                  <c:y val="2.0256872279681012E-4"/>
                </c:manualLayout>
              </c:layout>
              <c:dLblPos val="bestFit"/>
              <c:showCatName val="1"/>
              <c:showPercent val="1"/>
            </c:dLbl>
            <c:dLbl>
              <c:idx val="6"/>
              <c:layout>
                <c:manualLayout>
                  <c:x val="7.2278145375123865E-2"/>
                  <c:y val="6.0924641473107409E-2"/>
                </c:manualLayout>
              </c:layout>
              <c:tx>
                <c:rich>
                  <a:bodyPr/>
                  <a:lstStyle/>
                  <a:p>
                    <a:r>
                      <a:rPr lang="en-ZA" sz="1000" b="0" i="0" strike="noStrike">
                        <a:solidFill>
                          <a:srgbClr val="000000"/>
                        </a:solidFill>
                        <a:latin typeface="Calibri"/>
                      </a:rPr>
                      <a:t>Remuneration</a:t>
                    </a:r>
                  </a:p>
                  <a:p>
                    <a:r>
                      <a:rPr lang="en-ZA" sz="1000" b="0" i="0" strike="noStrike">
                        <a:solidFill>
                          <a:srgbClr val="000000"/>
                        </a:solidFill>
                        <a:latin typeface="Calibri"/>
                      </a:rPr>
                      <a:t> Councillors</a:t>
                    </a:r>
                  </a:p>
                  <a:p>
                    <a:r>
                      <a:rPr lang="en-ZA" sz="1000" b="0" i="0" strike="noStrike">
                        <a:solidFill>
                          <a:srgbClr val="000000"/>
                        </a:solidFill>
                        <a:latin typeface="Calibri"/>
                      </a:rPr>
                      <a:t>3%</a:t>
                    </a:r>
                  </a:p>
                </c:rich>
              </c:tx>
              <c:dLblPos val="bestFit"/>
            </c:dLbl>
            <c:dLbl>
              <c:idx val="7"/>
              <c:layout>
                <c:manualLayout>
                  <c:x val="7.5506960940830061E-3"/>
                  <c:y val="-4.6863922617930903E-2"/>
                </c:manualLayout>
              </c:layout>
              <c:dLblPos val="bestFit"/>
              <c:showCatName val="1"/>
              <c:showPercent val="1"/>
            </c:dLbl>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CatName val="1"/>
            <c:showPercent val="1"/>
            <c:showLeaderLines val="1"/>
          </c:dLbls>
          <c:cat>
            <c:strRef>
              <c:f>'Graphs - Linked '!$A$21:$A$28</c:f>
              <c:strCache>
                <c:ptCount val="8"/>
                <c:pt idx="0">
                  <c:v>Employee Cost</c:v>
                </c:pt>
                <c:pt idx="1">
                  <c:v>Depreciation</c:v>
                </c:pt>
                <c:pt idx="2">
                  <c:v>Repairs &amp; Maintenance</c:v>
                </c:pt>
                <c:pt idx="3">
                  <c:v>Interest Paid</c:v>
                </c:pt>
                <c:pt idx="4">
                  <c:v>Bulk Purchases</c:v>
                </c:pt>
                <c:pt idx="5">
                  <c:v>Contracted Services</c:v>
                </c:pt>
                <c:pt idx="6">
                  <c:v>Remuneration Councillors</c:v>
                </c:pt>
                <c:pt idx="7">
                  <c:v>Other Expenditure</c:v>
                </c:pt>
              </c:strCache>
            </c:strRef>
          </c:cat>
          <c:val>
            <c:numRef>
              <c:f>'Graphs - Linked '!$B$21:$B$28</c:f>
              <c:numCache>
                <c:formatCode>_(* #,##0_);_(* \(#,##0\);_(* "-"??_);_(@_)</c:formatCode>
                <c:ptCount val="8"/>
                <c:pt idx="0">
                  <c:v>20331605.729999997</c:v>
                </c:pt>
                <c:pt idx="1">
                  <c:v>3492914.18</c:v>
                </c:pt>
                <c:pt idx="2">
                  <c:v>2806528.21</c:v>
                </c:pt>
                <c:pt idx="3">
                  <c:v>1186125.32</c:v>
                </c:pt>
                <c:pt idx="4">
                  <c:v>12752281.619999999</c:v>
                </c:pt>
                <c:pt idx="5">
                  <c:v>2573241.02</c:v>
                </c:pt>
                <c:pt idx="6">
                  <c:v>2289128.8299999996</c:v>
                </c:pt>
                <c:pt idx="7">
                  <c:v>0</c:v>
                </c:pt>
              </c:numCache>
            </c:numRef>
          </c:val>
        </c:ser>
        <c:dLbls>
          <c:showCatName val="1"/>
          <c:showPercent val="1"/>
        </c:dLbls>
      </c:pie3DChart>
      <c:spPr>
        <a:noFill/>
        <a:ln w="25400">
          <a:noFill/>
        </a:ln>
      </c:spPr>
    </c:plotArea>
    <c:plotVisOnly val="1"/>
    <c:dispBlanksAs val="zero"/>
  </c:chart>
  <c:txPr>
    <a:bodyPr/>
    <a:lstStyle/>
    <a:p>
      <a:pPr>
        <a:defRPr sz="1000" b="0" i="0" u="none" strike="noStrike" baseline="0">
          <a:solidFill>
            <a:srgbClr val="000000"/>
          </a:solidFill>
          <a:latin typeface="Calibri"/>
          <a:ea typeface="Calibri"/>
          <a:cs typeface="Calibri"/>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c:lang val="en-ZA"/>
  <c:chart>
    <c:title>
      <c:tx>
        <c:rich>
          <a:bodyPr/>
          <a:lstStyle/>
          <a:p>
            <a:pPr>
              <a:defRPr sz="1800" b="1" i="0" u="none" strike="noStrike" baseline="0">
                <a:solidFill>
                  <a:srgbClr val="000000"/>
                </a:solidFill>
                <a:latin typeface="Calibri"/>
                <a:ea typeface="Calibri"/>
                <a:cs typeface="Calibri"/>
              </a:defRPr>
            </a:pPr>
            <a:r>
              <a:rPr lang="en-ZA"/>
              <a:t>CONSUMER DEBTORS 30 JUNE 2007</a:t>
            </a:r>
          </a:p>
        </c:rich>
      </c:tx>
      <c:spPr>
        <a:noFill/>
        <a:ln w="25400">
          <a:noFill/>
        </a:ln>
      </c:spPr>
    </c:title>
    <c:view3D>
      <c:depthPercent val="100"/>
      <c:rAngAx val="1"/>
    </c:view3D>
    <c:plotArea>
      <c:layout>
        <c:manualLayout>
          <c:layoutTarget val="inner"/>
          <c:xMode val="edge"/>
          <c:yMode val="edge"/>
          <c:x val="9.2118730808596519E-2"/>
          <c:y val="0.12068965517241392"/>
          <c:w val="0.8955987717502466"/>
          <c:h val="0.75078369905956732"/>
        </c:manualLayout>
      </c:layout>
      <c:bar3DChart>
        <c:barDir val="col"/>
        <c:grouping val="clustered"/>
        <c:ser>
          <c:idx val="0"/>
          <c:order val="0"/>
          <c:tx>
            <c:strRef>
              <c:f>'Graphs - Linked '!$B$36</c:f>
              <c:strCache>
                <c:ptCount val="1"/>
                <c:pt idx="0">
                  <c:v>2007</c:v>
                </c:pt>
              </c:strCache>
            </c:strRef>
          </c:tx>
          <c:dLbls>
            <c:dLbl>
              <c:idx val="0"/>
              <c:layout>
                <c:manualLayout>
                  <c:x val="-3.0149608985673587E-3"/>
                  <c:y val="-2.6347098462222605E-3"/>
                </c:manualLayout>
              </c:layout>
              <c:showVal val="1"/>
            </c:dLbl>
            <c:dLbl>
              <c:idx val="1"/>
              <c:layout>
                <c:manualLayout>
                  <c:x val="9.8367437949478708E-4"/>
                  <c:y val="-4.1438715144932921E-2"/>
                </c:manualLayout>
              </c:layout>
              <c:showVal val="1"/>
            </c:dLbl>
            <c:dLbl>
              <c:idx val="2"/>
              <c:layout>
                <c:manualLayout>
                  <c:x val="1.9115778388499897E-3"/>
                  <c:y val="-5.5344375056566184E-2"/>
                </c:manualLayout>
              </c:layout>
              <c:showVal val="1"/>
            </c:dLbl>
            <c:dLbl>
              <c:idx val="3"/>
              <c:layout>
                <c:manualLayout>
                  <c:x val="6.9337545703409414E-3"/>
                  <c:y val="-4.6216440813237114E-2"/>
                </c:manualLayout>
              </c:layout>
              <c:showVal val="1"/>
            </c:dLbl>
            <c:dLbl>
              <c:idx val="4"/>
              <c:layout>
                <c:manualLayout>
                  <c:x val="8.8853069415454414E-3"/>
                  <c:y val="-2.4265297558808296E-2"/>
                </c:manualLayout>
              </c:layout>
              <c:showVal val="1"/>
            </c:dLbl>
            <c:dLbl>
              <c:idx val="5"/>
              <c:layout>
                <c:manualLayout>
                  <c:x val="1.4931025126465195E-2"/>
                  <c:y val="-2.0707098133109551E-2"/>
                </c:manualLayout>
              </c:layout>
              <c:showVal val="1"/>
            </c:dLbl>
            <c:spPr>
              <a:noFill/>
              <a:ln w="25400">
                <a:noFill/>
              </a:ln>
            </c:spPr>
            <c:txPr>
              <a:bodyPr rot="-5400000" vert="horz"/>
              <a:lstStyle/>
              <a:p>
                <a:pPr algn="ctr">
                  <a:defRPr sz="1000" b="0" i="0" u="none" strike="noStrike" baseline="0">
                    <a:solidFill>
                      <a:srgbClr val="000000"/>
                    </a:solidFill>
                    <a:latin typeface="Calibri"/>
                    <a:ea typeface="Calibri"/>
                    <a:cs typeface="Calibri"/>
                  </a:defRPr>
                </a:pPr>
                <a:endParaRPr lang="en-US"/>
              </a:p>
            </c:txPr>
            <c:showVal val="1"/>
          </c:dLbls>
          <c:cat>
            <c:strRef>
              <c:f>'Graphs - Linked '!$A$37:$A$42</c:f>
              <c:strCache>
                <c:ptCount val="6"/>
                <c:pt idx="0">
                  <c:v>Current</c:v>
                </c:pt>
                <c:pt idx="1">
                  <c:v>31-60 Days</c:v>
                </c:pt>
                <c:pt idx="2">
                  <c:v>60-90 Days</c:v>
                </c:pt>
                <c:pt idx="3">
                  <c:v>91-120 Days</c:v>
                </c:pt>
                <c:pt idx="4">
                  <c:v>121-150 Days</c:v>
                </c:pt>
                <c:pt idx="5">
                  <c:v>151+ Days</c:v>
                </c:pt>
              </c:strCache>
            </c:strRef>
          </c:cat>
          <c:val>
            <c:numRef>
              <c:f>'Graphs - Linked '!$B$37:$B$42</c:f>
              <c:numCache>
                <c:formatCode>_(* #,##0_);_(* \(#,##0\);_(* "-"??_);_(@_)</c:formatCode>
                <c:ptCount val="6"/>
                <c:pt idx="0">
                  <c:v>0</c:v>
                </c:pt>
                <c:pt idx="1">
                  <c:v>1705.98</c:v>
                </c:pt>
                <c:pt idx="2">
                  <c:v>174.74</c:v>
                </c:pt>
                <c:pt idx="3">
                  <c:v>174.74</c:v>
                </c:pt>
                <c:pt idx="4">
                  <c:v>174.74</c:v>
                </c:pt>
                <c:pt idx="5">
                  <c:v>346784.6</c:v>
                </c:pt>
              </c:numCache>
            </c:numRef>
          </c:val>
        </c:ser>
        <c:ser>
          <c:idx val="1"/>
          <c:order val="1"/>
          <c:tx>
            <c:strRef>
              <c:f>'Graphs - Linked '!$C$36</c:f>
              <c:strCache>
                <c:ptCount val="1"/>
                <c:pt idx="0">
                  <c:v>2006</c:v>
                </c:pt>
              </c:strCache>
            </c:strRef>
          </c:tx>
          <c:dLbls>
            <c:dLbl>
              <c:idx val="0"/>
              <c:layout>
                <c:manualLayout>
                  <c:x val="-3.9195458807157755E-3"/>
                  <c:y val="-2.0428668986909551E-2"/>
                </c:manualLayout>
              </c:layout>
              <c:showVal val="1"/>
            </c:dLbl>
            <c:dLbl>
              <c:idx val="1"/>
              <c:layout>
                <c:manualLayout>
                  <c:x val="2.1260648457837282E-3"/>
                  <c:y val="-4.8185849809526185E-2"/>
                </c:manualLayout>
              </c:layout>
              <c:showVal val="1"/>
            </c:dLbl>
            <c:dLbl>
              <c:idx val="2"/>
              <c:layout>
                <c:manualLayout>
                  <c:x val="6.1247001238458314E-3"/>
                  <c:y val="-5.987691193773341E-2"/>
                </c:manualLayout>
              </c:layout>
              <c:showVal val="1"/>
            </c:dLbl>
            <c:dLbl>
              <c:idx val="3"/>
              <c:layout>
                <c:manualLayout>
                  <c:x val="8.0762524950502047E-3"/>
                  <c:y val="-5.5620829527970476E-2"/>
                </c:manualLayout>
              </c:layout>
              <c:showVal val="1"/>
            </c:dLbl>
            <c:dLbl>
              <c:idx val="4"/>
              <c:layout>
                <c:manualLayout>
                  <c:x val="1.3098429226541121E-2"/>
                  <c:y val="-3.0771521898320695E-2"/>
                </c:manualLayout>
              </c:layout>
              <c:showVal val="1"/>
            </c:dLbl>
            <c:dLbl>
              <c:idx val="5"/>
              <c:layout>
                <c:manualLayout>
                  <c:x val="1.4026440144316565E-2"/>
                  <c:y val="-1.5452159389167577E-2"/>
                </c:manualLayout>
              </c:layout>
              <c:showVal val="1"/>
            </c:dLbl>
            <c:spPr>
              <a:noFill/>
              <a:ln w="25400">
                <a:noFill/>
              </a:ln>
            </c:spPr>
            <c:txPr>
              <a:bodyPr rot="-5400000" vert="horz"/>
              <a:lstStyle/>
              <a:p>
                <a:pPr algn="ctr">
                  <a:defRPr sz="1000" b="0" i="0" u="none" strike="noStrike" baseline="0">
                    <a:solidFill>
                      <a:srgbClr val="000000"/>
                    </a:solidFill>
                    <a:latin typeface="Calibri"/>
                    <a:ea typeface="Calibri"/>
                    <a:cs typeface="Calibri"/>
                  </a:defRPr>
                </a:pPr>
                <a:endParaRPr lang="en-US"/>
              </a:p>
            </c:txPr>
            <c:showVal val="1"/>
          </c:dLbls>
          <c:cat>
            <c:strRef>
              <c:f>'Graphs - Linked '!$A$37:$A$42</c:f>
              <c:strCache>
                <c:ptCount val="6"/>
                <c:pt idx="0">
                  <c:v>Current</c:v>
                </c:pt>
                <c:pt idx="1">
                  <c:v>31-60 Days</c:v>
                </c:pt>
                <c:pt idx="2">
                  <c:v>60-90 Days</c:v>
                </c:pt>
                <c:pt idx="3">
                  <c:v>91-120 Days</c:v>
                </c:pt>
                <c:pt idx="4">
                  <c:v>121-150 Days</c:v>
                </c:pt>
                <c:pt idx="5">
                  <c:v>151+ Days</c:v>
                </c:pt>
              </c:strCache>
            </c:strRef>
          </c:cat>
          <c:val>
            <c:numRef>
              <c:f>'Graphs - Linked '!$C$37:$C$42</c:f>
              <c:numCache>
                <c:formatCode>_(* #,##0_);_(* \(#,##0\);_(* "-"??_);_(@_)</c:formatCode>
                <c:ptCount val="6"/>
                <c:pt idx="0">
                  <c:v>0</c:v>
                </c:pt>
                <c:pt idx="1">
                  <c:v>0</c:v>
                </c:pt>
                <c:pt idx="2">
                  <c:v>0</c:v>
                </c:pt>
                <c:pt idx="3">
                  <c:v>0</c:v>
                </c:pt>
                <c:pt idx="4">
                  <c:v>0</c:v>
                </c:pt>
                <c:pt idx="5">
                  <c:v>0</c:v>
                </c:pt>
              </c:numCache>
            </c:numRef>
          </c:val>
        </c:ser>
        <c:dLbls>
          <c:showVal val="1"/>
        </c:dLbls>
        <c:shape val="box"/>
        <c:axId val="83222528"/>
        <c:axId val="83224064"/>
        <c:axId val="0"/>
      </c:bar3DChart>
      <c:catAx>
        <c:axId val="83222528"/>
        <c:scaling>
          <c:orientation val="minMax"/>
        </c:scaling>
        <c:axPos val="b"/>
        <c:numFmt formatCode="General" sourceLinked="1"/>
        <c:maj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83224064"/>
        <c:crosses val="autoZero"/>
        <c:auto val="1"/>
        <c:lblAlgn val="ctr"/>
        <c:lblOffset val="100"/>
      </c:catAx>
      <c:valAx>
        <c:axId val="83224064"/>
        <c:scaling>
          <c:orientation val="minMax"/>
          <c:max val="30000000"/>
        </c:scaling>
        <c:axPos val="l"/>
        <c:majorGridlines/>
        <c:numFmt formatCode="_(* #,##0_);_(* \(#,##0\);_(* &quot;-&quot;??_);_(@_)" sourceLinked="1"/>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83222528"/>
        <c:crosses val="autoZero"/>
        <c:crossBetween val="between"/>
      </c:valAx>
      <c:spPr>
        <a:noFill/>
        <a:ln w="25400">
          <a:noFill/>
        </a:ln>
      </c:spPr>
    </c:plotArea>
    <c:legend>
      <c:legendPos val="r"/>
      <c:layout>
        <c:manualLayout>
          <c:xMode val="edge"/>
          <c:yMode val="edge"/>
          <c:x val="0.43473792394655708"/>
          <c:y val="0.947784810126584"/>
          <c:w val="0.12744090441932199"/>
          <c:h val="3.9556962025316451E-2"/>
        </c:manualLayout>
      </c:layout>
      <c:txPr>
        <a:bodyPr/>
        <a:lstStyle/>
        <a:p>
          <a:pPr>
            <a:defRPr sz="850" b="0" i="0" u="none" strike="noStrike" baseline="0">
              <a:solidFill>
                <a:srgbClr val="000000"/>
              </a:solidFill>
              <a:latin typeface="Arial"/>
              <a:ea typeface="Arial"/>
              <a:cs typeface="Arial"/>
            </a:defRPr>
          </a:pPr>
          <a:endParaRPr lang="en-US"/>
        </a:p>
      </c:txPr>
    </c:legend>
    <c:plotVisOnly val="1"/>
    <c:dispBlanksAs val="gap"/>
  </c:chart>
  <c:txPr>
    <a:bodyPr/>
    <a:lstStyle/>
    <a:p>
      <a:pPr>
        <a:defRPr sz="1000" b="0" i="0" u="none" strike="noStrike" baseline="0">
          <a:solidFill>
            <a:srgbClr val="000000"/>
          </a:solidFill>
          <a:latin typeface="Calibri"/>
          <a:ea typeface="Calibri"/>
          <a:cs typeface="Calibri"/>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c:lang val="en-ZA"/>
  <c:chart>
    <c:title>
      <c:tx>
        <c:rich>
          <a:bodyPr/>
          <a:lstStyle/>
          <a:p>
            <a:pPr>
              <a:defRPr sz="1000" b="0" i="0" u="none" strike="noStrike" baseline="0">
                <a:solidFill>
                  <a:srgbClr val="000000"/>
                </a:solidFill>
                <a:latin typeface="Calibri"/>
                <a:ea typeface="Calibri"/>
                <a:cs typeface="Calibri"/>
              </a:defRPr>
            </a:pPr>
            <a:r>
              <a:rPr lang="en-ZA" sz="1800" b="1" i="0" strike="noStrike">
                <a:solidFill>
                  <a:srgbClr val="000000"/>
                </a:solidFill>
                <a:latin typeface="Calibri"/>
              </a:rPr>
              <a:t>COLLECTION RATES</a:t>
            </a:r>
          </a:p>
          <a:p>
            <a:pPr>
              <a:defRPr sz="1000" b="0" i="0" u="none" strike="noStrike" baseline="0">
                <a:solidFill>
                  <a:srgbClr val="000000"/>
                </a:solidFill>
                <a:latin typeface="Calibri"/>
                <a:ea typeface="Calibri"/>
                <a:cs typeface="Calibri"/>
              </a:defRPr>
            </a:pPr>
            <a:r>
              <a:rPr lang="en-ZA" sz="1800" b="1" i="0" strike="noStrike">
                <a:solidFill>
                  <a:srgbClr val="000000"/>
                </a:solidFill>
                <a:latin typeface="Calibri"/>
              </a:rPr>
              <a:t> 2001 UNTIL 2007</a:t>
            </a:r>
          </a:p>
        </c:rich>
      </c:tx>
      <c:spPr>
        <a:noFill/>
        <a:ln w="25400">
          <a:noFill/>
        </a:ln>
      </c:spPr>
    </c:title>
    <c:view3D>
      <c:depthPercent val="100"/>
      <c:rAngAx val="1"/>
    </c:view3D>
    <c:plotArea>
      <c:layout>
        <c:manualLayout>
          <c:layoutTarget val="inner"/>
          <c:xMode val="edge"/>
          <c:yMode val="edge"/>
          <c:x val="6.9600818833162742E-2"/>
          <c:y val="0.15987460815047044"/>
          <c:w val="0.91811668372568656"/>
          <c:h val="0.64576802507836994"/>
        </c:manualLayout>
      </c:layout>
      <c:bar3DChart>
        <c:barDir val="col"/>
        <c:grouping val="clustered"/>
        <c:ser>
          <c:idx val="0"/>
          <c:order val="0"/>
          <c:dLbls>
            <c:spPr>
              <a:noFill/>
              <a:ln w="25400">
                <a:noFill/>
              </a:ln>
            </c:spPr>
            <c:txPr>
              <a:bodyPr/>
              <a:lstStyle/>
              <a:p>
                <a:pPr>
                  <a:defRPr sz="1000" b="1" i="0" u="none" strike="noStrike" baseline="0">
                    <a:solidFill>
                      <a:srgbClr val="000000"/>
                    </a:solidFill>
                    <a:latin typeface="Calibri"/>
                    <a:ea typeface="Calibri"/>
                    <a:cs typeface="Calibri"/>
                  </a:defRPr>
                </a:pPr>
                <a:endParaRPr lang="en-US"/>
              </a:p>
            </c:txPr>
            <c:showVal val="1"/>
          </c:dLbls>
          <c:cat>
            <c:strRef>
              <c:f>'Graphs - Linked '!$A$63:$A$69</c:f>
              <c:strCache>
                <c:ptCount val="7"/>
                <c:pt idx="0">
                  <c:v>2002</c:v>
                </c:pt>
                <c:pt idx="1">
                  <c:v>2003</c:v>
                </c:pt>
                <c:pt idx="2">
                  <c:v>2004</c:v>
                </c:pt>
                <c:pt idx="3">
                  <c:v>2005</c:v>
                </c:pt>
                <c:pt idx="4">
                  <c:v>2006</c:v>
                </c:pt>
                <c:pt idx="5">
                  <c:v>2007</c:v>
                </c:pt>
                <c:pt idx="6">
                  <c:v>Average</c:v>
                </c:pt>
              </c:strCache>
            </c:strRef>
          </c:cat>
          <c:val>
            <c:numRef>
              <c:f>'Graphs - Linked '!$B$63:$B$69</c:f>
              <c:numCache>
                <c:formatCode>0.00%</c:formatCode>
                <c:ptCount val="7"/>
                <c:pt idx="0">
                  <c:v>0.99329999999999996</c:v>
                </c:pt>
                <c:pt idx="1">
                  <c:v>0.97160000000000002</c:v>
                </c:pt>
                <c:pt idx="2">
                  <c:v>1.0236000000000001</c:v>
                </c:pt>
                <c:pt idx="3">
                  <c:v>0.99199999999999999</c:v>
                </c:pt>
                <c:pt idx="4">
                  <c:v>1.0311999999999999</c:v>
                </c:pt>
                <c:pt idx="5">
                  <c:v>1.04</c:v>
                </c:pt>
                <c:pt idx="6">
                  <c:v>1.0086166666666667</c:v>
                </c:pt>
              </c:numCache>
            </c:numRef>
          </c:val>
        </c:ser>
        <c:gapWidth val="75"/>
        <c:shape val="box"/>
        <c:axId val="83261696"/>
        <c:axId val="83272064"/>
        <c:axId val="0"/>
      </c:bar3DChart>
      <c:catAx>
        <c:axId val="83261696"/>
        <c:scaling>
          <c:orientation val="minMax"/>
        </c:scaling>
        <c:axPos val="b"/>
        <c:title>
          <c:tx>
            <c:rich>
              <a:bodyPr/>
              <a:lstStyle/>
              <a:p>
                <a:pPr>
                  <a:defRPr sz="1200" b="1" i="0" u="none" strike="noStrike" baseline="0">
                    <a:solidFill>
                      <a:srgbClr val="000000"/>
                    </a:solidFill>
                    <a:latin typeface="ARIAL"/>
                    <a:ea typeface="ARIAL"/>
                    <a:cs typeface="ARIAL"/>
                  </a:defRPr>
                </a:pPr>
                <a:r>
                  <a:rPr lang="en-ZA"/>
                  <a:t>FINANCIAL YEAR</a:t>
                </a:r>
              </a:p>
            </c:rich>
          </c:tx>
          <c:spPr>
            <a:noFill/>
            <a:ln w="25400">
              <a:noFill/>
            </a:ln>
          </c:spPr>
        </c:title>
        <c:numFmt formatCode="General" sourceLinked="1"/>
        <c:majorTickMark val="none"/>
        <c:tickLblPos val="nextTo"/>
        <c:txPr>
          <a:bodyPr rot="0" vert="horz"/>
          <a:lstStyle/>
          <a:p>
            <a:pPr>
              <a:defRPr sz="1200" b="1" i="0" u="none" strike="noStrike" baseline="0">
                <a:solidFill>
                  <a:srgbClr val="000000"/>
                </a:solidFill>
                <a:latin typeface="ARIAL"/>
                <a:ea typeface="ARIAL"/>
                <a:cs typeface="ARIAL"/>
              </a:defRPr>
            </a:pPr>
            <a:endParaRPr lang="en-US"/>
          </a:p>
        </c:txPr>
        <c:crossAx val="83272064"/>
        <c:crosses val="autoZero"/>
        <c:auto val="1"/>
        <c:lblAlgn val="ctr"/>
        <c:lblOffset val="100"/>
      </c:catAx>
      <c:valAx>
        <c:axId val="83272064"/>
        <c:scaling>
          <c:orientation val="minMax"/>
        </c:scaling>
        <c:axPos val="l"/>
        <c:majorGridlines/>
        <c:numFmt formatCode="0.00%" sourceLinked="1"/>
        <c:majorTickMark val="none"/>
        <c:tickLblPos val="nextTo"/>
        <c:spPr>
          <a:ln w="9525">
            <a:noFill/>
          </a:ln>
        </c:spPr>
        <c:txPr>
          <a:bodyPr rot="0" vert="horz"/>
          <a:lstStyle/>
          <a:p>
            <a:pPr>
              <a:defRPr sz="1200" b="1" i="0" u="none" strike="noStrike" baseline="0">
                <a:solidFill>
                  <a:srgbClr val="000000"/>
                </a:solidFill>
                <a:latin typeface="Calibri"/>
                <a:ea typeface="Calibri"/>
                <a:cs typeface="Calibri"/>
              </a:defRPr>
            </a:pPr>
            <a:endParaRPr lang="en-US"/>
          </a:p>
        </c:txPr>
        <c:crossAx val="83261696"/>
        <c:crosses val="autoZero"/>
        <c:crossBetween val="between"/>
      </c:valAx>
      <c:spPr>
        <a:noFill/>
        <a:ln w="25400">
          <a:noFill/>
        </a:ln>
      </c:spPr>
    </c:plotArea>
    <c:plotVisOnly val="1"/>
    <c:dispBlanksAs val="gap"/>
  </c:chart>
  <c:txPr>
    <a:bodyPr/>
    <a:lstStyle/>
    <a:p>
      <a:pPr>
        <a:defRPr sz="1000" b="0" i="0" u="none" strike="noStrike" baseline="0">
          <a:solidFill>
            <a:srgbClr val="000000"/>
          </a:solidFill>
          <a:latin typeface="Calibri"/>
          <a:ea typeface="Calibri"/>
          <a:cs typeface="Calibri"/>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c:lang val="en-ZA"/>
  <c:chart>
    <c:title>
      <c:tx>
        <c:rich>
          <a:bodyPr/>
          <a:lstStyle/>
          <a:p>
            <a:pPr>
              <a:defRPr sz="1000" b="0" i="0" u="none" strike="noStrike" baseline="0">
                <a:solidFill>
                  <a:srgbClr val="000000"/>
                </a:solidFill>
                <a:latin typeface="Calibri"/>
                <a:ea typeface="Calibri"/>
                <a:cs typeface="Calibri"/>
              </a:defRPr>
            </a:pPr>
            <a:r>
              <a:rPr lang="en-ZA" sz="1800" b="1" i="0" strike="noStrike">
                <a:solidFill>
                  <a:srgbClr val="000000"/>
                </a:solidFill>
                <a:latin typeface="Calibri"/>
              </a:rPr>
              <a:t> CAPITAL EXPENDITURE BY ASSET TYPE:</a:t>
            </a:r>
          </a:p>
          <a:p>
            <a:pPr>
              <a:defRPr sz="1000" b="0" i="0" u="none" strike="noStrike" baseline="0">
                <a:solidFill>
                  <a:srgbClr val="000000"/>
                </a:solidFill>
                <a:latin typeface="Calibri"/>
                <a:ea typeface="Calibri"/>
                <a:cs typeface="Calibri"/>
              </a:defRPr>
            </a:pPr>
            <a:r>
              <a:rPr lang="en-ZA" sz="1800" b="1" i="0" strike="noStrike">
                <a:solidFill>
                  <a:srgbClr val="000000"/>
                </a:solidFill>
                <a:latin typeface="Calibri"/>
              </a:rPr>
              <a:t>2006/07</a:t>
            </a:r>
          </a:p>
        </c:rich>
      </c:tx>
      <c:spPr>
        <a:noFill/>
        <a:ln w="25400">
          <a:noFill/>
        </a:ln>
      </c:spPr>
    </c:title>
    <c:view3D>
      <c:depthPercent val="100"/>
      <c:rAngAx val="1"/>
    </c:view3D>
    <c:plotArea>
      <c:layout/>
      <c:bar3DChart>
        <c:barDir val="col"/>
        <c:grouping val="clustered"/>
        <c:ser>
          <c:idx val="0"/>
          <c:order val="0"/>
          <c:tx>
            <c:strRef>
              <c:f>'Graphs - Linked '!$B$49</c:f>
              <c:strCache>
                <c:ptCount val="1"/>
                <c:pt idx="0">
                  <c:v> R </c:v>
                </c:pt>
              </c:strCache>
            </c:strRef>
          </c:tx>
          <c:cat>
            <c:strRef>
              <c:f>'Graphs - Linked '!$A$50:$A$57</c:f>
              <c:strCache>
                <c:ptCount val="8"/>
                <c:pt idx="0">
                  <c:v>Roads and Stormwter</c:v>
                </c:pt>
                <c:pt idx="1">
                  <c:v>Water Reticulation</c:v>
                </c:pt>
                <c:pt idx="2">
                  <c:v>Electricity Reticulation</c:v>
                </c:pt>
                <c:pt idx="3">
                  <c:v>Sewerage Reticulation</c:v>
                </c:pt>
                <c:pt idx="4">
                  <c:v>Community Halls &amp; MPCC's</c:v>
                </c:pt>
                <c:pt idx="5">
                  <c:v>Other Assets</c:v>
                </c:pt>
                <c:pt idx="6">
                  <c:v>Vehicles</c:v>
                </c:pt>
                <c:pt idx="7">
                  <c:v>Plant &amp; equipment</c:v>
                </c:pt>
              </c:strCache>
            </c:strRef>
          </c:cat>
          <c:val>
            <c:numRef>
              <c:f>'Graphs - Linked '!$B$50:$B$57</c:f>
              <c:numCache>
                <c:formatCode>_(* #,##0_);_(* \(#,##0\);_(* "-"??_);_(@_)</c:formatCode>
                <c:ptCount val="8"/>
                <c:pt idx="0">
                  <c:v>0</c:v>
                </c:pt>
                <c:pt idx="1">
                  <c:v>0</c:v>
                </c:pt>
                <c:pt idx="2">
                  <c:v>0</c:v>
                </c:pt>
                <c:pt idx="3">
                  <c:v>0</c:v>
                </c:pt>
                <c:pt idx="4">
                  <c:v>0</c:v>
                </c:pt>
                <c:pt idx="5">
                  <c:v>0</c:v>
                </c:pt>
                <c:pt idx="6">
                  <c:v>0</c:v>
                </c:pt>
                <c:pt idx="7">
                  <c:v>0</c:v>
                </c:pt>
              </c:numCache>
            </c:numRef>
          </c:val>
        </c:ser>
        <c:shape val="box"/>
        <c:axId val="83353984"/>
        <c:axId val="83355520"/>
        <c:axId val="0"/>
      </c:bar3DChart>
      <c:catAx>
        <c:axId val="83353984"/>
        <c:scaling>
          <c:orientation val="minMax"/>
        </c:scaling>
        <c:axPos val="b"/>
        <c:numFmt formatCode="General" sourceLinked="1"/>
        <c:maj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83355520"/>
        <c:crosses val="autoZero"/>
        <c:auto val="1"/>
        <c:lblAlgn val="ctr"/>
        <c:lblOffset val="100"/>
      </c:catAx>
      <c:valAx>
        <c:axId val="83355520"/>
        <c:scaling>
          <c:orientation val="minMax"/>
        </c:scaling>
        <c:axPos val="l"/>
        <c:majorGridlines/>
        <c:numFmt formatCode="_(* #,##0_);_(* \(#,##0\);_(* &quot;-&quot;??_);_(@_)" sourceLinked="1"/>
        <c:maj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83353984"/>
        <c:crosses val="autoZero"/>
        <c:crossBetween val="between"/>
      </c:valAx>
      <c:dTable>
        <c:showHorzBorder val="1"/>
        <c:showVertBorder val="1"/>
        <c:showOutline val="1"/>
        <c:showKeys val="1"/>
        <c:txPr>
          <a:bodyPr/>
          <a:lstStyle/>
          <a:p>
            <a:pPr rtl="0">
              <a:defRPr sz="1000" b="0" i="0" u="none" strike="noStrike" baseline="0">
                <a:solidFill>
                  <a:srgbClr val="000000"/>
                </a:solidFill>
                <a:latin typeface="Arial"/>
                <a:ea typeface="Arial"/>
                <a:cs typeface="Arial"/>
              </a:defRPr>
            </a:pPr>
            <a:endParaRPr lang="en-US"/>
          </a:p>
        </c:txPr>
      </c:dTable>
      <c:spPr>
        <a:noFill/>
        <a:ln w="25400">
          <a:noFill/>
        </a:ln>
      </c:spPr>
    </c:plotArea>
    <c:plotVisOnly val="1"/>
    <c:dispBlanksAs val="gap"/>
  </c:chart>
  <c:txPr>
    <a:bodyPr/>
    <a:lstStyle/>
    <a:p>
      <a:pPr>
        <a:defRPr sz="1000" b="0" i="0" u="none" strike="noStrike" baseline="0">
          <a:solidFill>
            <a:srgbClr val="000000"/>
          </a:solidFill>
          <a:latin typeface="Calibri"/>
          <a:ea typeface="Calibri"/>
          <a:cs typeface="Calibri"/>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0.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1.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3.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4.bin"/></Relationships>
</file>

<file path=xl/chartsheets/sheet1.xml><?xml version="1.0" encoding="utf-8"?>
<chartsheet xmlns="http://schemas.openxmlformats.org/spreadsheetml/2006/main" xmlns:r="http://schemas.openxmlformats.org/officeDocument/2006/relationships">
  <sheetPr/>
  <sheetViews>
    <sheetView zoomScale="66" workbookViewId="0"/>
  </sheetViews>
  <pageMargins left="0.70000000000000018" right="0.70000000000000018" top="0.75000000000000022" bottom="0.75000000000000022" header="0.3000000000000001" footer="0.3000000000000001"/>
  <pageSetup paperSize="267" orientation="landscape" r:id="rId1"/>
  <drawing r:id="rId2"/>
</chartsheet>
</file>

<file path=xl/chartsheets/sheet2.xml><?xml version="1.0" encoding="utf-8"?>
<chartsheet xmlns="http://schemas.openxmlformats.org/spreadsheetml/2006/main" xmlns:r="http://schemas.openxmlformats.org/officeDocument/2006/relationships">
  <sheetPr/>
  <sheetViews>
    <sheetView zoomScale="66" workbookViewId="0"/>
  </sheetViews>
  <pageMargins left="0.70000000000000018" right="0.70000000000000018" top="0.75000000000000022" bottom="0.75000000000000022" header="0.3000000000000001" footer="0.3000000000000001"/>
  <pageSetup paperSize="9" orientation="landscape" r:id="rId1"/>
  <drawing r:id="rId2"/>
</chartsheet>
</file>

<file path=xl/chartsheets/sheet3.xml><?xml version="1.0" encoding="utf-8"?>
<chartsheet xmlns="http://schemas.openxmlformats.org/spreadsheetml/2006/main" xmlns:r="http://schemas.openxmlformats.org/officeDocument/2006/relationships">
  <sheetPr/>
  <sheetViews>
    <sheetView zoomScale="66" workbookViewId="0"/>
  </sheetViews>
  <pageMargins left="0.70000000000000018" right="0.70000000000000018" top="0.75000000000000022" bottom="0.75000000000000022" header="0.3000000000000001" footer="0.3000000000000001"/>
  <pageSetup paperSize="9" orientation="landscape" r:id="rId1"/>
  <drawing r:id="rId2"/>
</chartsheet>
</file>

<file path=xl/chartsheets/sheet4.xml><?xml version="1.0" encoding="utf-8"?>
<chartsheet xmlns="http://schemas.openxmlformats.org/spreadsheetml/2006/main" xmlns:r="http://schemas.openxmlformats.org/officeDocument/2006/relationships">
  <sheetPr/>
  <sheetViews>
    <sheetView zoomScale="66" workbookViewId="0"/>
  </sheetViews>
  <pageMargins left="0.70000000000000018" right="0.70000000000000018" top="0.75000000000000022" bottom="0.75000000000000022" header="0.3000000000000001" footer="0.3000000000000001"/>
  <pageSetup paperSize="9" orientation="landscape" r:id="rId1"/>
  <drawing r:id="rId2"/>
</chartsheet>
</file>

<file path=xl/chartsheets/sheet5.xml><?xml version="1.0" encoding="utf-8"?>
<chartsheet xmlns="http://schemas.openxmlformats.org/spreadsheetml/2006/main" xmlns:r="http://schemas.openxmlformats.org/officeDocument/2006/relationships">
  <sheetPr/>
  <sheetViews>
    <sheetView zoomScale="66" workbookViewId="0"/>
  </sheetViews>
  <pageMargins left="0.70000000000000018" right="0.70000000000000018" top="0.75000000000000022" bottom="0.75000000000000022" header="0.3000000000000001" footer="0.3000000000000001"/>
  <pageSetup paperSize="9"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0"/>
    <xdr:ext cx="8667750" cy="60198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9267825" cy="60198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267825" cy="60198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267825" cy="60198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9267825" cy="60198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ershia\AppData\Local\Microsoft\Windows\Temporary%20Internet%20Files\Content.Outlook\SXZM8DME\Users\Tershia\Desktop\MLM%20Financial%20Statements%202006_2007%2013JULY2007a.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OSTE"/>
      <sheetName val="Main Ledger"/>
      <sheetName val="Trail Balance"/>
      <sheetName val="NON BS &amp; IS INFO"/>
      <sheetName val="FRONT PAGE"/>
      <sheetName val="INDEX"/>
      <sheetName val="GENERAL INFORMATION AND APPROVA"/>
      <sheetName val="FOREWORD"/>
      <sheetName val="DEPARTMENTAL REVIEW"/>
      <sheetName val="REPORT FROM AG"/>
      <sheetName val="REPORT  C F O"/>
      <sheetName val="ACCOUNTING POLICIES"/>
      <sheetName val="Balance Sheet"/>
      <sheetName val="Income Statement"/>
      <sheetName val="Cashflow"/>
      <sheetName val="Notes"/>
      <sheetName val="Appendix A"/>
      <sheetName val="Appendix B"/>
      <sheetName val="Appendix C"/>
      <sheetName val="Appendix D"/>
      <sheetName val="Appendix E"/>
      <sheetName val="APPENDIX F"/>
    </sheetNames>
    <sheetDataSet>
      <sheetData sheetId="0" refreshError="1"/>
      <sheetData sheetId="1" refreshError="1"/>
      <sheetData sheetId="2" refreshError="1">
        <row r="749">
          <cell r="G749">
            <v>-168088.78999999855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2">
          <cell r="O22">
            <v>168088.78999999631</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queryTables/queryTable1.xml><?xml version="1.0" encoding="utf-8"?>
<queryTable xmlns="http://schemas.openxmlformats.org/spreadsheetml/2006/main" name="Query from ProMIS" connectionId="3" autoFormatId="16" applyNumberFormats="0" applyBorderFormats="0" applyFontFormats="1" applyPatternFormats="1" applyAlignmentFormats="0" applyWidthHeightFormats="0">
  <queryTableRefresh nextId="12">
    <queryTableFields/>
  </queryTableRefresh>
</queryTable>
</file>

<file path=xl/queryTables/queryTable2.xml><?xml version="1.0" encoding="utf-8"?>
<queryTable xmlns="http://schemas.openxmlformats.org/spreadsheetml/2006/main" name="Query from ProMIS_1" connectionId="2" autoFormatId="16" applyNumberFormats="0" applyBorderFormats="0" applyFontFormats="1" applyPatternFormats="1" applyAlignmentFormats="0" applyWidthHeightFormats="0">
  <queryTableRefresh nextId="12">
    <queryTableFields/>
  </queryTableRefresh>
</queryTable>
</file>

<file path=xl/queryTables/queryTable3.xml><?xml version="1.0" encoding="utf-8"?>
<queryTable xmlns="http://schemas.openxmlformats.org/spreadsheetml/2006/main" name="Query from ProMIS" connectionId="1" autoFormatId="16" applyNumberFormats="0" applyBorderFormats="0" applyFontFormats="1" applyPatternFormats="1" applyAlignmentFormats="0" applyWidthHeightFormats="0">
  <queryTableRefresh nextId="12">
    <queryTableFields/>
  </queryTableRefresh>
</query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queryTable" Target="../queryTables/queryTable2.xml"/><Relationship Id="rId2" Type="http://schemas.openxmlformats.org/officeDocument/2006/relationships/queryTable" Target="../queryTables/query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queryTable" Target="../queryTables/queryTable3.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3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T942"/>
  <sheetViews>
    <sheetView view="pageBreakPreview" zoomScale="80" zoomScaleSheetLayoutView="80" workbookViewId="0">
      <pane xSplit="3" ySplit="1" topLeftCell="K2" activePane="bottomRight" state="frozen"/>
      <selection pane="topRight" activeCell="D1" sqref="D1"/>
      <selection pane="bottomLeft" activeCell="A2" sqref="A2"/>
      <selection pane="bottomRight" activeCell="Q377" sqref="Q377"/>
    </sheetView>
  </sheetViews>
  <sheetFormatPr defaultColWidth="19" defaultRowHeight="15"/>
  <cols>
    <col min="1" max="1" width="15.7109375" style="309" customWidth="1"/>
    <col min="2" max="2" width="19" style="309" customWidth="1"/>
    <col min="3" max="3" width="15.85546875" style="308" bestFit="1" customWidth="1"/>
    <col min="4" max="5" width="19" style="308" customWidth="1"/>
    <col min="6" max="8" width="19" style="309" customWidth="1"/>
    <col min="9" max="9" width="14.7109375" style="309" customWidth="1"/>
    <col min="10" max="10" width="13.5703125" style="309" customWidth="1"/>
    <col min="11" max="11" width="19" style="309" customWidth="1"/>
    <col min="12" max="12" width="17.42578125" style="648" bestFit="1" customWidth="1"/>
    <col min="13" max="14" width="19" style="648" customWidth="1"/>
    <col min="15" max="15" width="17.42578125" style="648" customWidth="1"/>
    <col min="16" max="16" width="13.5703125" style="648" bestFit="1" customWidth="1"/>
    <col min="17" max="17" width="12.85546875" style="648" bestFit="1" customWidth="1"/>
    <col min="18" max="18" width="10.85546875" style="648" bestFit="1" customWidth="1"/>
    <col min="19" max="19" width="8.85546875" style="648" bestFit="1" customWidth="1"/>
    <col min="20" max="16384" width="19" style="309"/>
  </cols>
  <sheetData>
    <row r="1" spans="1:19">
      <c r="A1" s="649" t="s">
        <v>43</v>
      </c>
      <c r="B1" s="649" t="s">
        <v>2153</v>
      </c>
      <c r="C1" s="650" t="s">
        <v>2150</v>
      </c>
      <c r="D1" s="650" t="s">
        <v>2151</v>
      </c>
      <c r="E1" s="650" t="s">
        <v>1017</v>
      </c>
      <c r="F1" s="649" t="s">
        <v>2384</v>
      </c>
      <c r="G1" s="649" t="s">
        <v>2336</v>
      </c>
      <c r="H1" s="649" t="s">
        <v>1149</v>
      </c>
      <c r="I1" s="649" t="s">
        <v>2139</v>
      </c>
      <c r="J1" s="649"/>
      <c r="K1" s="649"/>
      <c r="L1" s="651" t="s">
        <v>2152</v>
      </c>
      <c r="M1" s="651"/>
      <c r="N1" s="651"/>
      <c r="O1" s="651"/>
      <c r="P1" s="651" t="s">
        <v>2337</v>
      </c>
      <c r="Q1" s="651" t="s">
        <v>2338</v>
      </c>
      <c r="R1" s="651" t="s">
        <v>2337</v>
      </c>
      <c r="S1" s="651" t="s">
        <v>1505</v>
      </c>
    </row>
    <row r="2" spans="1:19">
      <c r="A2" s="649" t="s">
        <v>752</v>
      </c>
      <c r="B2" s="649" t="s">
        <v>2154</v>
      </c>
      <c r="C2" s="652">
        <v>-3895935.53</v>
      </c>
      <c r="D2" s="650">
        <v>-4769223</v>
      </c>
      <c r="E2" s="650">
        <v>-2118.12</v>
      </c>
      <c r="F2" s="649">
        <v>0</v>
      </c>
      <c r="G2" s="649">
        <v>-873287.47</v>
      </c>
      <c r="H2" s="649">
        <v>18</v>
      </c>
      <c r="I2" s="649" t="s">
        <v>773</v>
      </c>
      <c r="J2" s="649"/>
      <c r="K2" s="649"/>
      <c r="L2" s="651" t="s">
        <v>27</v>
      </c>
      <c r="M2" s="651"/>
      <c r="N2" s="651"/>
      <c r="O2" s="651"/>
      <c r="P2" s="651" t="s">
        <v>753</v>
      </c>
      <c r="Q2" s="651" t="s">
        <v>754</v>
      </c>
      <c r="R2" s="651"/>
      <c r="S2" s="651"/>
    </row>
    <row r="3" spans="1:19">
      <c r="A3" s="649" t="s">
        <v>755</v>
      </c>
      <c r="B3" s="649" t="s">
        <v>2154</v>
      </c>
      <c r="C3" s="652">
        <v>-316494.03000000003</v>
      </c>
      <c r="D3" s="650">
        <v>-316495</v>
      </c>
      <c r="E3" s="650">
        <v>0</v>
      </c>
      <c r="F3" s="649">
        <v>0</v>
      </c>
      <c r="G3" s="649">
        <v>-0.97</v>
      </c>
      <c r="H3" s="649">
        <v>0</v>
      </c>
      <c r="I3" s="649" t="s">
        <v>773</v>
      </c>
      <c r="J3" s="649"/>
      <c r="K3" s="649"/>
      <c r="L3" s="651" t="s">
        <v>27</v>
      </c>
      <c r="M3" s="651"/>
      <c r="N3" s="651"/>
      <c r="O3" s="651"/>
      <c r="P3" s="651" t="s">
        <v>756</v>
      </c>
      <c r="Q3" s="651" t="s">
        <v>754</v>
      </c>
      <c r="R3" s="651"/>
      <c r="S3" s="651"/>
    </row>
    <row r="4" spans="1:19">
      <c r="A4" s="649" t="s">
        <v>757</v>
      </c>
      <c r="B4" s="649" t="s">
        <v>2154</v>
      </c>
      <c r="C4" s="652">
        <v>-1432991.23</v>
      </c>
      <c r="D4" s="650">
        <v>-1432992</v>
      </c>
      <c r="E4" s="650">
        <v>0</v>
      </c>
      <c r="F4" s="649">
        <v>0</v>
      </c>
      <c r="G4" s="649">
        <v>-0.77</v>
      </c>
      <c r="H4" s="649">
        <v>0</v>
      </c>
      <c r="I4" s="649" t="s">
        <v>773</v>
      </c>
      <c r="J4" s="649"/>
      <c r="K4" s="649"/>
      <c r="L4" s="651" t="s">
        <v>27</v>
      </c>
      <c r="M4" s="651"/>
      <c r="N4" s="651"/>
      <c r="O4" s="651"/>
      <c r="P4" s="651" t="s">
        <v>758</v>
      </c>
      <c r="Q4" s="651" t="s">
        <v>754</v>
      </c>
      <c r="R4" s="651"/>
      <c r="S4" s="651"/>
    </row>
    <row r="5" spans="1:19">
      <c r="A5" s="649" t="s">
        <v>759</v>
      </c>
      <c r="B5" s="649" t="s">
        <v>2154</v>
      </c>
      <c r="C5" s="652">
        <v>-1192909.3799999999</v>
      </c>
      <c r="D5" s="650">
        <v>-1192910</v>
      </c>
      <c r="E5" s="650">
        <v>390.71</v>
      </c>
      <c r="F5" s="649">
        <v>0</v>
      </c>
      <c r="G5" s="649">
        <v>-0.62</v>
      </c>
      <c r="H5" s="649">
        <v>0</v>
      </c>
      <c r="I5" s="649" t="s">
        <v>773</v>
      </c>
      <c r="J5" s="649"/>
      <c r="K5" s="649"/>
      <c r="L5" s="651" t="s">
        <v>27</v>
      </c>
      <c r="M5" s="651">
        <f>SUM(C2:C5)</f>
        <v>-6838330.169999999</v>
      </c>
      <c r="N5" s="651"/>
      <c r="O5" s="651"/>
      <c r="P5" s="651" t="s">
        <v>760</v>
      </c>
      <c r="Q5" s="651" t="s">
        <v>761</v>
      </c>
      <c r="R5" s="651" t="s">
        <v>1074</v>
      </c>
      <c r="S5" s="651" t="s">
        <v>762</v>
      </c>
    </row>
    <row r="6" spans="1:19">
      <c r="A6" s="649" t="s">
        <v>763</v>
      </c>
      <c r="B6" s="649" t="s">
        <v>2154</v>
      </c>
      <c r="C6" s="652">
        <v>0</v>
      </c>
      <c r="D6" s="650">
        <v>0</v>
      </c>
      <c r="E6" s="650">
        <v>0</v>
      </c>
      <c r="F6" s="649">
        <v>0</v>
      </c>
      <c r="G6" s="649">
        <v>0</v>
      </c>
      <c r="H6" s="649">
        <v>0</v>
      </c>
      <c r="I6" s="649" t="s">
        <v>773</v>
      </c>
      <c r="J6" s="649"/>
      <c r="K6" s="649"/>
      <c r="L6" s="651"/>
      <c r="M6" s="651"/>
      <c r="N6" s="651"/>
      <c r="O6" s="651"/>
      <c r="P6" s="651" t="s">
        <v>764</v>
      </c>
      <c r="Q6" s="651" t="s">
        <v>765</v>
      </c>
      <c r="R6" s="651"/>
      <c r="S6" s="651"/>
    </row>
    <row r="7" spans="1:19">
      <c r="A7" s="649" t="s">
        <v>766</v>
      </c>
      <c r="B7" s="649" t="s">
        <v>2154</v>
      </c>
      <c r="C7" s="652">
        <v>0</v>
      </c>
      <c r="D7" s="650">
        <v>0</v>
      </c>
      <c r="E7" s="650">
        <v>0</v>
      </c>
      <c r="F7" s="649">
        <v>0</v>
      </c>
      <c r="G7" s="649">
        <v>0</v>
      </c>
      <c r="H7" s="649">
        <v>0</v>
      </c>
      <c r="I7" s="649" t="s">
        <v>773</v>
      </c>
      <c r="J7" s="649"/>
      <c r="K7" s="649"/>
      <c r="L7" s="651"/>
      <c r="M7" s="651"/>
      <c r="N7" s="651"/>
      <c r="O7" s="651"/>
      <c r="P7" s="651" t="s">
        <v>764</v>
      </c>
      <c r="Q7" s="651" t="s">
        <v>765</v>
      </c>
      <c r="R7" s="651"/>
      <c r="S7" s="651"/>
    </row>
    <row r="8" spans="1:19">
      <c r="A8" s="649" t="s">
        <v>767</v>
      </c>
      <c r="B8" s="649" t="s">
        <v>2154</v>
      </c>
      <c r="C8" s="652">
        <v>0</v>
      </c>
      <c r="D8" s="650">
        <v>0</v>
      </c>
      <c r="E8" s="650">
        <v>0</v>
      </c>
      <c r="F8" s="649">
        <v>0</v>
      </c>
      <c r="G8" s="649">
        <v>0</v>
      </c>
      <c r="H8" s="649">
        <v>0</v>
      </c>
      <c r="I8" s="649" t="s">
        <v>773</v>
      </c>
      <c r="J8" s="649"/>
      <c r="K8" s="649"/>
      <c r="L8" s="651"/>
      <c r="M8" s="651"/>
      <c r="N8" s="651"/>
      <c r="O8" s="651"/>
      <c r="P8" s="651" t="s">
        <v>764</v>
      </c>
      <c r="Q8" s="651" t="s">
        <v>765</v>
      </c>
      <c r="R8" s="651"/>
      <c r="S8" s="651"/>
    </row>
    <row r="9" spans="1:19">
      <c r="A9" s="649" t="s">
        <v>768</v>
      </c>
      <c r="B9" s="649" t="s">
        <v>2154</v>
      </c>
      <c r="C9" s="652">
        <v>0</v>
      </c>
      <c r="D9" s="650">
        <v>0</v>
      </c>
      <c r="E9" s="650">
        <v>91764.87</v>
      </c>
      <c r="F9" s="649">
        <v>0</v>
      </c>
      <c r="G9" s="649">
        <v>0</v>
      </c>
      <c r="H9" s="649">
        <v>0</v>
      </c>
      <c r="I9" s="649" t="s">
        <v>773</v>
      </c>
      <c r="J9" s="649"/>
      <c r="K9" s="649"/>
      <c r="L9" s="651"/>
      <c r="M9" s="651">
        <f>+C9</f>
        <v>0</v>
      </c>
      <c r="N9" s="651"/>
      <c r="O9" s="651"/>
      <c r="P9" s="651" t="s">
        <v>769</v>
      </c>
      <c r="Q9" s="651" t="s">
        <v>689</v>
      </c>
      <c r="R9" s="651"/>
      <c r="S9" s="651"/>
    </row>
    <row r="10" spans="1:19">
      <c r="A10" s="649" t="s">
        <v>770</v>
      </c>
      <c r="B10" s="649" t="s">
        <v>2154</v>
      </c>
      <c r="C10" s="652">
        <v>-56950.080000000002</v>
      </c>
      <c r="D10" s="650">
        <v>0</v>
      </c>
      <c r="E10" s="650">
        <v>-56950.080000000002</v>
      </c>
      <c r="F10" s="649">
        <v>0</v>
      </c>
      <c r="G10" s="649">
        <v>56950.080000000002</v>
      </c>
      <c r="H10" s="649">
        <v>9999</v>
      </c>
      <c r="I10" s="649" t="s">
        <v>773</v>
      </c>
      <c r="J10" s="649"/>
      <c r="K10" s="649"/>
      <c r="L10" s="651" t="s">
        <v>563</v>
      </c>
      <c r="M10" s="651"/>
      <c r="N10" s="651">
        <f>+C10</f>
        <v>-56950.080000000002</v>
      </c>
      <c r="O10" s="651" t="s">
        <v>40</v>
      </c>
      <c r="P10" s="651" t="s">
        <v>3243</v>
      </c>
      <c r="Q10" s="651"/>
      <c r="R10" s="651"/>
      <c r="S10" s="651"/>
    </row>
    <row r="11" spans="1:19">
      <c r="A11" s="649" t="s">
        <v>771</v>
      </c>
      <c r="B11" s="649" t="s">
        <v>2154</v>
      </c>
      <c r="C11" s="652">
        <v>0</v>
      </c>
      <c r="D11" s="650">
        <v>0</v>
      </c>
      <c r="E11" s="650">
        <v>0</v>
      </c>
      <c r="F11" s="649">
        <v>0</v>
      </c>
      <c r="G11" s="649">
        <v>0</v>
      </c>
      <c r="H11" s="649">
        <v>0</v>
      </c>
      <c r="I11" s="649" t="s">
        <v>773</v>
      </c>
      <c r="J11" s="649"/>
      <c r="K11" s="649"/>
      <c r="L11" s="651"/>
      <c r="M11" s="651"/>
      <c r="N11" s="651"/>
      <c r="O11" s="651"/>
      <c r="P11" s="651" t="s">
        <v>772</v>
      </c>
      <c r="Q11" s="651" t="s">
        <v>773</v>
      </c>
      <c r="R11" s="651"/>
      <c r="S11" s="651"/>
    </row>
    <row r="12" spans="1:19">
      <c r="A12" s="649" t="s">
        <v>774</v>
      </c>
      <c r="B12" s="649" t="s">
        <v>2154</v>
      </c>
      <c r="C12" s="652">
        <v>-985502.46</v>
      </c>
      <c r="D12" s="650">
        <v>0</v>
      </c>
      <c r="E12" s="650">
        <v>-985502.46</v>
      </c>
      <c r="F12" s="649">
        <v>0</v>
      </c>
      <c r="G12" s="649">
        <v>985502.46</v>
      </c>
      <c r="H12" s="649">
        <v>9999</v>
      </c>
      <c r="I12" s="649" t="s">
        <v>773</v>
      </c>
      <c r="J12" s="649"/>
      <c r="K12" s="649"/>
      <c r="L12" s="651" t="s">
        <v>28</v>
      </c>
      <c r="M12" s="653">
        <f>+C12</f>
        <v>-985502.46</v>
      </c>
      <c r="N12" s="651"/>
      <c r="O12" s="651"/>
      <c r="P12" s="651" t="s">
        <v>775</v>
      </c>
      <c r="Q12" s="651" t="s">
        <v>776</v>
      </c>
      <c r="R12" s="651" t="s">
        <v>777</v>
      </c>
      <c r="S12" s="651"/>
    </row>
    <row r="13" spans="1:19">
      <c r="A13" s="649" t="s">
        <v>778</v>
      </c>
      <c r="B13" s="649" t="s">
        <v>2154</v>
      </c>
      <c r="C13" s="652">
        <v>-477000</v>
      </c>
      <c r="D13" s="650">
        <v>-477000</v>
      </c>
      <c r="E13" s="650">
        <v>90000</v>
      </c>
      <c r="F13" s="649">
        <v>0</v>
      </c>
      <c r="G13" s="649">
        <v>0</v>
      </c>
      <c r="H13" s="649">
        <v>0</v>
      </c>
      <c r="I13" s="649" t="s">
        <v>773</v>
      </c>
      <c r="J13" s="649"/>
      <c r="K13" s="654">
        <f>SUM(C2:C13)</f>
        <v>-8357782.709999999</v>
      </c>
      <c r="L13" s="651" t="s">
        <v>2372</v>
      </c>
      <c r="M13" s="653">
        <f>+C13</f>
        <v>-477000</v>
      </c>
      <c r="N13" s="651"/>
      <c r="O13" s="651"/>
      <c r="P13" s="651" t="s">
        <v>779</v>
      </c>
      <c r="Q13" s="651" t="s">
        <v>780</v>
      </c>
      <c r="R13" s="651" t="s">
        <v>781</v>
      </c>
      <c r="S13" s="651"/>
    </row>
    <row r="14" spans="1:19">
      <c r="A14" s="649" t="s">
        <v>782</v>
      </c>
      <c r="B14" s="649" t="s">
        <v>2154</v>
      </c>
      <c r="C14" s="652">
        <v>0</v>
      </c>
      <c r="D14" s="650">
        <v>0</v>
      </c>
      <c r="E14" s="650">
        <v>0</v>
      </c>
      <c r="F14" s="649">
        <v>0</v>
      </c>
      <c r="G14" s="649">
        <v>0</v>
      </c>
      <c r="H14" s="649">
        <v>0</v>
      </c>
      <c r="I14" s="649" t="s">
        <v>773</v>
      </c>
      <c r="J14" s="649"/>
      <c r="K14" s="649"/>
      <c r="L14" s="651"/>
      <c r="M14" s="651"/>
      <c r="N14" s="651"/>
      <c r="O14" s="651"/>
      <c r="P14" s="651" t="s">
        <v>783</v>
      </c>
      <c r="Q14" s="651" t="s">
        <v>784</v>
      </c>
      <c r="R14" s="651" t="s">
        <v>785</v>
      </c>
      <c r="S14" s="651"/>
    </row>
    <row r="15" spans="1:19">
      <c r="A15" s="649" t="s">
        <v>786</v>
      </c>
      <c r="B15" s="649" t="s">
        <v>2154</v>
      </c>
      <c r="C15" s="652">
        <v>715.28</v>
      </c>
      <c r="D15" s="650">
        <v>4500</v>
      </c>
      <c r="E15" s="650">
        <v>0</v>
      </c>
      <c r="F15" s="649">
        <v>0</v>
      </c>
      <c r="G15" s="649">
        <v>3784.72</v>
      </c>
      <c r="H15" s="649">
        <v>84</v>
      </c>
      <c r="I15" s="649" t="s">
        <v>1625</v>
      </c>
      <c r="J15" s="649"/>
      <c r="K15" s="649"/>
      <c r="L15" s="651" t="s">
        <v>2140</v>
      </c>
      <c r="M15" s="651"/>
      <c r="N15" s="651"/>
      <c r="O15" s="651" t="s">
        <v>2180</v>
      </c>
      <c r="P15" s="651" t="s">
        <v>787</v>
      </c>
      <c r="Q15" s="651" t="s">
        <v>788</v>
      </c>
      <c r="R15" s="651" t="s">
        <v>789</v>
      </c>
      <c r="S15" s="651"/>
    </row>
    <row r="16" spans="1:19">
      <c r="A16" s="649" t="s">
        <v>790</v>
      </c>
      <c r="B16" s="649" t="s">
        <v>2154</v>
      </c>
      <c r="C16" s="652">
        <v>13852</v>
      </c>
      <c r="D16" s="650">
        <v>13908</v>
      </c>
      <c r="E16" s="650">
        <v>9496</v>
      </c>
      <c r="F16" s="649">
        <v>0</v>
      </c>
      <c r="G16" s="649">
        <v>56</v>
      </c>
      <c r="H16" s="649">
        <v>0</v>
      </c>
      <c r="I16" s="649" t="s">
        <v>1625</v>
      </c>
      <c r="J16" s="649"/>
      <c r="K16" s="649"/>
      <c r="L16" s="651" t="s">
        <v>2140</v>
      </c>
      <c r="M16" s="651"/>
      <c r="N16" s="651"/>
      <c r="O16" s="651" t="s">
        <v>2181</v>
      </c>
      <c r="P16" s="651" t="s">
        <v>3247</v>
      </c>
      <c r="Q16" s="651"/>
      <c r="R16" s="651"/>
      <c r="S16" s="651"/>
    </row>
    <row r="17" spans="1:20">
      <c r="A17" s="649" t="s">
        <v>791</v>
      </c>
      <c r="B17" s="649" t="s">
        <v>2154</v>
      </c>
      <c r="C17" s="652">
        <v>13827.15</v>
      </c>
      <c r="D17" s="650">
        <v>13836</v>
      </c>
      <c r="E17" s="650">
        <v>1274.54</v>
      </c>
      <c r="F17" s="649">
        <v>0</v>
      </c>
      <c r="G17" s="649">
        <v>8.85</v>
      </c>
      <c r="H17" s="649">
        <v>0</v>
      </c>
      <c r="I17" s="649" t="s">
        <v>1625</v>
      </c>
      <c r="J17" s="649"/>
      <c r="K17" s="649"/>
      <c r="L17" s="651" t="s">
        <v>2141</v>
      </c>
      <c r="M17" s="651"/>
      <c r="N17" s="651"/>
      <c r="O17" s="651" t="s">
        <v>23</v>
      </c>
      <c r="P17" s="651" t="s">
        <v>792</v>
      </c>
      <c r="Q17" s="651" t="s">
        <v>1074</v>
      </c>
      <c r="R17" s="651" t="s">
        <v>793</v>
      </c>
      <c r="S17" s="651"/>
    </row>
    <row r="18" spans="1:20">
      <c r="A18" s="649" t="s">
        <v>794</v>
      </c>
      <c r="B18" s="649" t="s">
        <v>2154</v>
      </c>
      <c r="C18" s="652">
        <v>0</v>
      </c>
      <c r="D18" s="650">
        <v>0</v>
      </c>
      <c r="E18" s="650">
        <v>0</v>
      </c>
      <c r="F18" s="649">
        <v>0</v>
      </c>
      <c r="G18" s="649">
        <v>0</v>
      </c>
      <c r="H18" s="649">
        <v>0</v>
      </c>
      <c r="I18" s="649" t="s">
        <v>1625</v>
      </c>
      <c r="J18" s="649"/>
      <c r="K18" s="649"/>
      <c r="L18" s="651" t="s">
        <v>2140</v>
      </c>
      <c r="M18" s="651"/>
      <c r="N18" s="651"/>
      <c r="O18" s="651" t="s">
        <v>2178</v>
      </c>
      <c r="P18" s="651" t="s">
        <v>795</v>
      </c>
      <c r="Q18" s="651" t="s">
        <v>1074</v>
      </c>
      <c r="R18" s="651" t="s">
        <v>796</v>
      </c>
      <c r="S18" s="651" t="s">
        <v>797</v>
      </c>
    </row>
    <row r="19" spans="1:20">
      <c r="A19" s="649" t="s">
        <v>798</v>
      </c>
      <c r="B19" s="649" t="s">
        <v>2154</v>
      </c>
      <c r="C19" s="652">
        <v>0</v>
      </c>
      <c r="D19" s="650">
        <v>0</v>
      </c>
      <c r="E19" s="650">
        <v>0</v>
      </c>
      <c r="F19" s="649">
        <v>0</v>
      </c>
      <c r="G19" s="649">
        <v>0</v>
      </c>
      <c r="H19" s="649">
        <v>0</v>
      </c>
      <c r="I19" s="649" t="s">
        <v>1625</v>
      </c>
      <c r="J19" s="649"/>
      <c r="K19" s="649"/>
      <c r="L19" s="651" t="s">
        <v>2140</v>
      </c>
      <c r="M19" s="651"/>
      <c r="N19" s="651"/>
      <c r="O19" s="651" t="s">
        <v>2179</v>
      </c>
      <c r="P19" s="651" t="s">
        <v>795</v>
      </c>
      <c r="Q19" s="651" t="s">
        <v>1074</v>
      </c>
      <c r="R19" s="651" t="s">
        <v>799</v>
      </c>
      <c r="S19" s="651" t="s">
        <v>800</v>
      </c>
    </row>
    <row r="20" spans="1:20">
      <c r="A20" s="649" t="s">
        <v>801</v>
      </c>
      <c r="B20" s="649" t="s">
        <v>2154</v>
      </c>
      <c r="C20" s="652">
        <v>0</v>
      </c>
      <c r="D20" s="650">
        <v>0</v>
      </c>
      <c r="E20" s="650">
        <v>0</v>
      </c>
      <c r="F20" s="649">
        <v>0</v>
      </c>
      <c r="G20" s="649">
        <v>0</v>
      </c>
      <c r="H20" s="649">
        <v>0</v>
      </c>
      <c r="I20" s="649" t="s">
        <v>1625</v>
      </c>
      <c r="J20" s="649"/>
      <c r="K20" s="649"/>
      <c r="L20" s="651" t="s">
        <v>2140</v>
      </c>
      <c r="M20" s="651"/>
      <c r="N20" s="651"/>
      <c r="O20" s="651" t="s">
        <v>2180</v>
      </c>
      <c r="P20" s="651" t="s">
        <v>2486</v>
      </c>
      <c r="Q20" s="651" t="s">
        <v>1074</v>
      </c>
      <c r="R20" s="651" t="s">
        <v>802</v>
      </c>
      <c r="S20" s="651"/>
    </row>
    <row r="21" spans="1:20">
      <c r="A21" s="649" t="s">
        <v>803</v>
      </c>
      <c r="B21" s="649" t="s">
        <v>2154</v>
      </c>
      <c r="C21" s="652">
        <v>7027.2</v>
      </c>
      <c r="D21" s="650">
        <v>7100</v>
      </c>
      <c r="E21" s="650">
        <v>0</v>
      </c>
      <c r="F21" s="649">
        <v>0</v>
      </c>
      <c r="G21" s="649">
        <v>72.8</v>
      </c>
      <c r="H21" s="649">
        <v>1</v>
      </c>
      <c r="I21" s="649" t="s">
        <v>1625</v>
      </c>
      <c r="J21" s="649"/>
      <c r="K21" s="649"/>
      <c r="L21" s="651" t="s">
        <v>2140</v>
      </c>
      <c r="M21" s="651"/>
      <c r="N21" s="651"/>
      <c r="O21" s="651" t="s">
        <v>2178</v>
      </c>
      <c r="P21" s="651" t="s">
        <v>3247</v>
      </c>
      <c r="Q21" s="651" t="s">
        <v>796</v>
      </c>
      <c r="R21" s="651"/>
      <c r="S21" s="651"/>
    </row>
    <row r="22" spans="1:20">
      <c r="A22" s="649" t="s">
        <v>804</v>
      </c>
      <c r="B22" s="649" t="s">
        <v>2154</v>
      </c>
      <c r="C22" s="652">
        <v>451952.04</v>
      </c>
      <c r="D22" s="650">
        <v>452052</v>
      </c>
      <c r="E22" s="650">
        <v>37662.67</v>
      </c>
      <c r="F22" s="649">
        <v>0</v>
      </c>
      <c r="G22" s="649">
        <v>99.96</v>
      </c>
      <c r="H22" s="649">
        <v>0</v>
      </c>
      <c r="I22" s="649" t="s">
        <v>1625</v>
      </c>
      <c r="J22" s="649"/>
      <c r="K22" s="649"/>
      <c r="L22" s="651" t="s">
        <v>2141</v>
      </c>
      <c r="M22" s="651"/>
      <c r="N22" s="651"/>
      <c r="O22" s="651" t="s">
        <v>20</v>
      </c>
      <c r="P22" s="651" t="s">
        <v>805</v>
      </c>
      <c r="Q22" s="651" t="s">
        <v>1074</v>
      </c>
      <c r="R22" s="651" t="s">
        <v>806</v>
      </c>
      <c r="S22" s="651"/>
    </row>
    <row r="23" spans="1:20">
      <c r="A23" s="649" t="s">
        <v>807</v>
      </c>
      <c r="B23" s="649" t="s">
        <v>2154</v>
      </c>
      <c r="C23" s="652">
        <v>1132163.3999999999</v>
      </c>
      <c r="D23" s="650">
        <v>1132164</v>
      </c>
      <c r="E23" s="650">
        <v>94346.95</v>
      </c>
      <c r="F23" s="649">
        <v>0</v>
      </c>
      <c r="G23" s="649">
        <v>0.6</v>
      </c>
      <c r="H23" s="649">
        <v>0</v>
      </c>
      <c r="I23" s="649" t="s">
        <v>1625</v>
      </c>
      <c r="J23" s="649"/>
      <c r="K23" s="649"/>
      <c r="L23" s="651" t="s">
        <v>2141</v>
      </c>
      <c r="M23" s="651"/>
      <c r="N23" s="651"/>
      <c r="O23" s="651" t="s">
        <v>22</v>
      </c>
      <c r="P23" s="651" t="s">
        <v>805</v>
      </c>
      <c r="Q23" s="651" t="s">
        <v>1074</v>
      </c>
      <c r="R23" s="651" t="s">
        <v>713</v>
      </c>
      <c r="S23" s="651"/>
    </row>
    <row r="24" spans="1:20">
      <c r="A24" s="649" t="s">
        <v>808</v>
      </c>
      <c r="B24" s="649" t="s">
        <v>2154</v>
      </c>
      <c r="C24" s="652">
        <v>376845.36</v>
      </c>
      <c r="D24" s="650">
        <v>376865</v>
      </c>
      <c r="E24" s="650">
        <v>31448.78</v>
      </c>
      <c r="F24" s="649">
        <v>0</v>
      </c>
      <c r="G24" s="649">
        <v>19.64</v>
      </c>
      <c r="H24" s="649">
        <v>0</v>
      </c>
      <c r="I24" s="649" t="s">
        <v>1625</v>
      </c>
      <c r="J24" s="649"/>
      <c r="K24" s="649"/>
      <c r="L24" s="651" t="s">
        <v>2141</v>
      </c>
      <c r="M24" s="651"/>
      <c r="N24" s="651"/>
      <c r="O24" s="651" t="s">
        <v>21</v>
      </c>
      <c r="P24" s="651" t="s">
        <v>750</v>
      </c>
      <c r="Q24" s="651" t="s">
        <v>809</v>
      </c>
      <c r="R24" s="651" t="s">
        <v>1074</v>
      </c>
      <c r="S24" s="651" t="s">
        <v>810</v>
      </c>
    </row>
    <row r="25" spans="1:20">
      <c r="A25" s="649" t="s">
        <v>811</v>
      </c>
      <c r="B25" s="649" t="s">
        <v>2154</v>
      </c>
      <c r="C25" s="652">
        <v>0</v>
      </c>
      <c r="D25" s="650">
        <v>0</v>
      </c>
      <c r="E25" s="650">
        <v>0</v>
      </c>
      <c r="F25" s="649">
        <v>0</v>
      </c>
      <c r="G25" s="649">
        <v>0</v>
      </c>
      <c r="H25" s="649">
        <v>0</v>
      </c>
      <c r="I25" s="649" t="s">
        <v>1625</v>
      </c>
      <c r="J25" s="649"/>
      <c r="K25" s="649"/>
      <c r="L25" s="651" t="s">
        <v>2141</v>
      </c>
      <c r="M25" s="651"/>
      <c r="N25" s="651"/>
      <c r="O25" s="651"/>
      <c r="P25" s="651" t="s">
        <v>750</v>
      </c>
      <c r="Q25" s="651" t="s">
        <v>809</v>
      </c>
      <c r="R25" s="651" t="s">
        <v>1074</v>
      </c>
      <c r="S25" s="651" t="s">
        <v>812</v>
      </c>
    </row>
    <row r="26" spans="1:20">
      <c r="A26" s="649" t="s">
        <v>813</v>
      </c>
      <c r="B26" s="649" t="s">
        <v>2154</v>
      </c>
      <c r="C26" s="652">
        <v>95292</v>
      </c>
      <c r="D26" s="650">
        <v>95292</v>
      </c>
      <c r="E26" s="650">
        <v>7941</v>
      </c>
      <c r="F26" s="649">
        <v>0</v>
      </c>
      <c r="G26" s="649">
        <v>0</v>
      </c>
      <c r="H26" s="649">
        <v>0</v>
      </c>
      <c r="I26" s="649" t="s">
        <v>1625</v>
      </c>
      <c r="J26" s="649"/>
      <c r="K26" s="649"/>
      <c r="L26" s="651" t="s">
        <v>2141</v>
      </c>
      <c r="M26" s="651"/>
      <c r="N26" s="651"/>
      <c r="O26" s="651" t="s">
        <v>24</v>
      </c>
      <c r="P26" s="651" t="s">
        <v>750</v>
      </c>
      <c r="Q26" s="651" t="s">
        <v>809</v>
      </c>
      <c r="R26" s="651" t="s">
        <v>1074</v>
      </c>
      <c r="S26" s="651" t="s">
        <v>814</v>
      </c>
    </row>
    <row r="27" spans="1:20">
      <c r="A27" s="649" t="s">
        <v>815</v>
      </c>
      <c r="B27" s="649" t="s">
        <v>2154</v>
      </c>
      <c r="C27" s="652">
        <v>219048.88</v>
      </c>
      <c r="D27" s="650">
        <v>219050</v>
      </c>
      <c r="E27" s="650">
        <v>18254.07</v>
      </c>
      <c r="F27" s="649">
        <v>0</v>
      </c>
      <c r="G27" s="649">
        <v>1.1200000000000001</v>
      </c>
      <c r="H27" s="649">
        <v>0</v>
      </c>
      <c r="I27" s="649" t="s">
        <v>1625</v>
      </c>
      <c r="J27" s="649"/>
      <c r="K27" s="649"/>
      <c r="L27" s="651" t="s">
        <v>2141</v>
      </c>
      <c r="M27" s="651"/>
      <c r="N27" s="651"/>
      <c r="O27" s="651" t="s">
        <v>25</v>
      </c>
      <c r="P27" s="651" t="s">
        <v>816</v>
      </c>
      <c r="Q27" s="651" t="s">
        <v>1074</v>
      </c>
      <c r="R27" s="651" t="s">
        <v>750</v>
      </c>
      <c r="S27" s="651" t="s">
        <v>1074</v>
      </c>
      <c r="T27" s="309" t="s">
        <v>817</v>
      </c>
    </row>
    <row r="28" spans="1:20">
      <c r="A28" s="649" t="s">
        <v>818</v>
      </c>
      <c r="B28" s="649" t="s">
        <v>2154</v>
      </c>
      <c r="C28" s="652">
        <v>0</v>
      </c>
      <c r="D28" s="650">
        <v>23391</v>
      </c>
      <c r="E28" s="650">
        <v>0</v>
      </c>
      <c r="F28" s="649">
        <v>0</v>
      </c>
      <c r="G28" s="649">
        <v>23391</v>
      </c>
      <c r="H28" s="649">
        <v>100</v>
      </c>
      <c r="I28" s="649" t="s">
        <v>1625</v>
      </c>
      <c r="J28" s="649"/>
      <c r="K28" s="649"/>
      <c r="L28" s="651" t="s">
        <v>2142</v>
      </c>
      <c r="M28" s="651"/>
      <c r="N28" s="651"/>
      <c r="O28" s="651" t="s">
        <v>2142</v>
      </c>
      <c r="P28" s="651" t="s">
        <v>819</v>
      </c>
      <c r="Q28" s="651" t="s">
        <v>820</v>
      </c>
      <c r="R28" s="651" t="s">
        <v>821</v>
      </c>
      <c r="S28" s="651"/>
    </row>
    <row r="29" spans="1:20">
      <c r="A29" s="649" t="s">
        <v>822</v>
      </c>
      <c r="B29" s="649" t="s">
        <v>2154</v>
      </c>
      <c r="C29" s="652">
        <v>53271.63</v>
      </c>
      <c r="D29" s="650">
        <v>53300</v>
      </c>
      <c r="E29" s="650">
        <v>10641.01</v>
      </c>
      <c r="F29" s="649">
        <v>0</v>
      </c>
      <c r="G29" s="649">
        <v>176.19</v>
      </c>
      <c r="H29" s="649">
        <v>0</v>
      </c>
      <c r="I29" s="649" t="s">
        <v>1625</v>
      </c>
      <c r="J29" s="649"/>
      <c r="K29" s="649"/>
      <c r="L29" s="651" t="s">
        <v>2143</v>
      </c>
      <c r="M29" s="651"/>
      <c r="N29" s="651"/>
      <c r="O29" s="651"/>
      <c r="P29" s="651" t="s">
        <v>3368</v>
      </c>
      <c r="Q29" s="651" t="s">
        <v>780</v>
      </c>
      <c r="R29" s="651" t="s">
        <v>823</v>
      </c>
      <c r="S29" s="651"/>
    </row>
    <row r="30" spans="1:20">
      <c r="A30" s="649" t="s">
        <v>824</v>
      </c>
      <c r="B30" s="649" t="s">
        <v>2154</v>
      </c>
      <c r="C30" s="652">
        <v>929.21</v>
      </c>
      <c r="D30" s="650">
        <v>2080</v>
      </c>
      <c r="E30" s="650">
        <v>-625</v>
      </c>
      <c r="F30" s="649">
        <v>0</v>
      </c>
      <c r="G30" s="649">
        <v>1150.79</v>
      </c>
      <c r="H30" s="649">
        <v>55</v>
      </c>
      <c r="I30" s="649" t="s">
        <v>1625</v>
      </c>
      <c r="J30" s="649"/>
      <c r="K30" s="649"/>
      <c r="L30" s="651" t="s">
        <v>2143</v>
      </c>
      <c r="M30" s="651"/>
      <c r="N30" s="651"/>
      <c r="O30" s="651"/>
      <c r="P30" s="651" t="s">
        <v>825</v>
      </c>
      <c r="Q30" s="651" t="s">
        <v>780</v>
      </c>
      <c r="R30" s="651" t="s">
        <v>826</v>
      </c>
      <c r="S30" s="651"/>
    </row>
    <row r="31" spans="1:20">
      <c r="A31" s="649" t="s">
        <v>827</v>
      </c>
      <c r="B31" s="649" t="s">
        <v>2154</v>
      </c>
      <c r="C31" s="652">
        <v>636354.44999999995</v>
      </c>
      <c r="D31" s="650">
        <v>724562</v>
      </c>
      <c r="E31" s="650">
        <v>-40145.14</v>
      </c>
      <c r="F31" s="649">
        <v>0</v>
      </c>
      <c r="G31" s="649">
        <v>88207.55</v>
      </c>
      <c r="H31" s="649">
        <v>12</v>
      </c>
      <c r="I31" s="649" t="s">
        <v>1625</v>
      </c>
      <c r="J31" s="649"/>
      <c r="K31" s="649"/>
      <c r="L31" s="651" t="s">
        <v>3447</v>
      </c>
      <c r="M31" s="651"/>
      <c r="N31" s="651"/>
      <c r="O31" s="651" t="s">
        <v>2144</v>
      </c>
      <c r="P31" s="651" t="s">
        <v>3241</v>
      </c>
      <c r="Q31" s="651" t="s">
        <v>828</v>
      </c>
      <c r="R31" s="651"/>
      <c r="S31" s="651"/>
    </row>
    <row r="32" spans="1:20">
      <c r="A32" s="649" t="s">
        <v>829</v>
      </c>
      <c r="B32" s="649" t="s">
        <v>2154</v>
      </c>
      <c r="C32" s="652">
        <v>0</v>
      </c>
      <c r="D32" s="650">
        <v>859966</v>
      </c>
      <c r="E32" s="650">
        <v>419523.61</v>
      </c>
      <c r="F32" s="649">
        <v>0</v>
      </c>
      <c r="G32" s="649">
        <v>810.76</v>
      </c>
      <c r="H32" s="649">
        <v>0</v>
      </c>
      <c r="I32" s="649" t="s">
        <v>1625</v>
      </c>
      <c r="J32" s="649"/>
      <c r="K32" s="649"/>
      <c r="L32" s="651" t="s">
        <v>3447</v>
      </c>
      <c r="M32" s="651"/>
      <c r="N32" s="651"/>
      <c r="O32" s="651" t="s">
        <v>2145</v>
      </c>
      <c r="P32" s="651" t="s">
        <v>3259</v>
      </c>
      <c r="Q32" s="651" t="s">
        <v>830</v>
      </c>
      <c r="R32" s="651"/>
      <c r="S32" s="651"/>
    </row>
    <row r="33" spans="1:19">
      <c r="A33" s="649" t="s">
        <v>831</v>
      </c>
      <c r="B33" s="649" t="s">
        <v>2154</v>
      </c>
      <c r="C33" s="652">
        <v>2573241.02</v>
      </c>
      <c r="D33" s="650">
        <v>2561655</v>
      </c>
      <c r="E33" s="650">
        <v>-152623.31</v>
      </c>
      <c r="F33" s="649">
        <v>0</v>
      </c>
      <c r="G33" s="649">
        <v>13.98</v>
      </c>
      <c r="H33" s="649">
        <v>0</v>
      </c>
      <c r="I33" s="649" t="s">
        <v>1625</v>
      </c>
      <c r="J33" s="649"/>
      <c r="K33" s="649"/>
      <c r="L33" s="651" t="s">
        <v>19</v>
      </c>
      <c r="M33" s="651"/>
      <c r="N33" s="651"/>
      <c r="O33" s="651" t="s">
        <v>19</v>
      </c>
      <c r="P33" s="651" t="s">
        <v>832</v>
      </c>
      <c r="Q33" s="651" t="s">
        <v>833</v>
      </c>
      <c r="R33" s="651"/>
      <c r="S33" s="651"/>
    </row>
    <row r="34" spans="1:19">
      <c r="A34" s="649" t="s">
        <v>834</v>
      </c>
      <c r="B34" s="649" t="s">
        <v>2154</v>
      </c>
      <c r="C34" s="652">
        <v>48268.95</v>
      </c>
      <c r="D34" s="650">
        <v>48500</v>
      </c>
      <c r="E34" s="650">
        <v>8540</v>
      </c>
      <c r="F34" s="649">
        <v>0</v>
      </c>
      <c r="G34" s="649">
        <v>231.05</v>
      </c>
      <c r="H34" s="649">
        <v>0</v>
      </c>
      <c r="I34" s="649" t="s">
        <v>1625</v>
      </c>
      <c r="J34" s="649"/>
      <c r="K34" s="649"/>
      <c r="L34" s="651" t="s">
        <v>2146</v>
      </c>
      <c r="M34" s="651"/>
      <c r="N34" s="651"/>
      <c r="O34" s="651"/>
      <c r="P34" s="651" t="s">
        <v>835</v>
      </c>
      <c r="Q34" s="651" t="s">
        <v>836</v>
      </c>
      <c r="R34" s="651" t="s">
        <v>837</v>
      </c>
      <c r="S34" s="651"/>
    </row>
    <row r="35" spans="1:19">
      <c r="A35" s="649" t="s">
        <v>838</v>
      </c>
      <c r="B35" s="649" t="s">
        <v>2154</v>
      </c>
      <c r="C35" s="652">
        <v>253478.28</v>
      </c>
      <c r="D35" s="650">
        <v>295000</v>
      </c>
      <c r="E35" s="650">
        <v>-40619.07</v>
      </c>
      <c r="F35" s="649">
        <v>0</v>
      </c>
      <c r="G35" s="649">
        <v>41521.72</v>
      </c>
      <c r="H35" s="649">
        <v>14</v>
      </c>
      <c r="I35" s="649" t="s">
        <v>1625</v>
      </c>
      <c r="J35" s="649"/>
      <c r="K35" s="649"/>
      <c r="L35" s="651" t="s">
        <v>2146</v>
      </c>
      <c r="M35" s="651"/>
      <c r="N35" s="651"/>
      <c r="O35" s="651"/>
      <c r="P35" s="651" t="s">
        <v>839</v>
      </c>
      <c r="Q35" s="651" t="s">
        <v>1074</v>
      </c>
      <c r="R35" s="651" t="s">
        <v>806</v>
      </c>
      <c r="S35" s="651" t="s">
        <v>840</v>
      </c>
    </row>
    <row r="36" spans="1:19">
      <c r="A36" s="649" t="s">
        <v>841</v>
      </c>
      <c r="B36" s="649" t="s">
        <v>2154</v>
      </c>
      <c r="C36" s="652">
        <v>91120</v>
      </c>
      <c r="D36" s="650">
        <v>91500</v>
      </c>
      <c r="E36" s="650">
        <v>120</v>
      </c>
      <c r="F36" s="649">
        <v>0</v>
      </c>
      <c r="G36" s="649">
        <v>380</v>
      </c>
      <c r="H36" s="649">
        <v>0</v>
      </c>
      <c r="I36" s="649" t="s">
        <v>1625</v>
      </c>
      <c r="J36" s="649"/>
      <c r="K36" s="649"/>
      <c r="L36" s="651" t="s">
        <v>2146</v>
      </c>
      <c r="M36" s="651"/>
      <c r="N36" s="651"/>
      <c r="O36" s="651"/>
      <c r="P36" s="651" t="s">
        <v>839</v>
      </c>
      <c r="Q36" s="651" t="s">
        <v>1074</v>
      </c>
      <c r="R36" s="651" t="s">
        <v>806</v>
      </c>
      <c r="S36" s="651" t="s">
        <v>842</v>
      </c>
    </row>
    <row r="37" spans="1:19">
      <c r="A37" s="649" t="s">
        <v>843</v>
      </c>
      <c r="B37" s="649" t="s">
        <v>2154</v>
      </c>
      <c r="C37" s="652">
        <v>0</v>
      </c>
      <c r="D37" s="650">
        <v>49000</v>
      </c>
      <c r="E37" s="650">
        <v>0</v>
      </c>
      <c r="F37" s="649">
        <v>0</v>
      </c>
      <c r="G37" s="649">
        <v>49000</v>
      </c>
      <c r="H37" s="649">
        <v>100</v>
      </c>
      <c r="I37" s="649" t="s">
        <v>1625</v>
      </c>
      <c r="J37" s="649"/>
      <c r="K37" s="649"/>
      <c r="L37" s="651" t="s">
        <v>2146</v>
      </c>
      <c r="M37" s="651"/>
      <c r="N37" s="651"/>
      <c r="O37" s="651"/>
      <c r="P37" s="651" t="s">
        <v>844</v>
      </c>
      <c r="Q37" s="651" t="s">
        <v>713</v>
      </c>
      <c r="R37" s="651"/>
      <c r="S37" s="651"/>
    </row>
    <row r="38" spans="1:19">
      <c r="A38" s="649" t="s">
        <v>845</v>
      </c>
      <c r="B38" s="649" t="s">
        <v>2154</v>
      </c>
      <c r="C38" s="652">
        <v>102711.28</v>
      </c>
      <c r="D38" s="650">
        <v>103000</v>
      </c>
      <c r="E38" s="650">
        <v>38668.25</v>
      </c>
      <c r="F38" s="649">
        <v>0</v>
      </c>
      <c r="G38" s="649">
        <v>288.72000000000003</v>
      </c>
      <c r="H38" s="649">
        <v>0</v>
      </c>
      <c r="I38" s="649" t="s">
        <v>1625</v>
      </c>
      <c r="J38" s="649"/>
      <c r="K38" s="649"/>
      <c r="L38" s="651" t="s">
        <v>2146</v>
      </c>
      <c r="M38" s="651"/>
      <c r="N38" s="651"/>
      <c r="O38" s="651"/>
      <c r="P38" s="651" t="s">
        <v>846</v>
      </c>
      <c r="Q38" s="651" t="s">
        <v>1074</v>
      </c>
      <c r="R38" s="651" t="s">
        <v>847</v>
      </c>
      <c r="S38" s="651"/>
    </row>
    <row r="39" spans="1:19">
      <c r="A39" s="649" t="s">
        <v>848</v>
      </c>
      <c r="B39" s="649" t="s">
        <v>2154</v>
      </c>
      <c r="C39" s="652">
        <v>98868.89</v>
      </c>
      <c r="D39" s="650">
        <v>95000</v>
      </c>
      <c r="E39" s="650">
        <v>19463.75</v>
      </c>
      <c r="F39" s="649">
        <v>0</v>
      </c>
      <c r="G39" s="649">
        <v>814.23</v>
      </c>
      <c r="H39" s="649">
        <v>1</v>
      </c>
      <c r="I39" s="649" t="s">
        <v>1625</v>
      </c>
      <c r="J39" s="649"/>
      <c r="K39" s="649"/>
      <c r="L39" s="651" t="s">
        <v>2146</v>
      </c>
      <c r="M39" s="651"/>
      <c r="N39" s="651"/>
      <c r="O39" s="651"/>
      <c r="P39" s="651" t="s">
        <v>849</v>
      </c>
      <c r="Q39" s="651" t="s">
        <v>780</v>
      </c>
      <c r="R39" s="651" t="s">
        <v>850</v>
      </c>
      <c r="S39" s="651"/>
    </row>
    <row r="40" spans="1:19">
      <c r="A40" s="649" t="s">
        <v>851</v>
      </c>
      <c r="B40" s="649" t="s">
        <v>2154</v>
      </c>
      <c r="C40" s="652">
        <v>602742.75</v>
      </c>
      <c r="D40" s="650">
        <v>603000</v>
      </c>
      <c r="E40" s="650">
        <v>137115</v>
      </c>
      <c r="F40" s="649">
        <v>0</v>
      </c>
      <c r="G40" s="649">
        <v>257.25</v>
      </c>
      <c r="H40" s="649">
        <v>0</v>
      </c>
      <c r="I40" s="649" t="s">
        <v>1625</v>
      </c>
      <c r="J40" s="649"/>
      <c r="K40" s="649"/>
      <c r="L40" s="651" t="s">
        <v>2146</v>
      </c>
      <c r="M40" s="651"/>
      <c r="N40" s="651"/>
      <c r="O40" s="651"/>
      <c r="P40" s="651" t="s">
        <v>852</v>
      </c>
      <c r="Q40" s="651" t="s">
        <v>853</v>
      </c>
      <c r="R40" s="651" t="s">
        <v>854</v>
      </c>
      <c r="S40" s="651"/>
    </row>
    <row r="41" spans="1:19">
      <c r="A41" s="649" t="s">
        <v>855</v>
      </c>
      <c r="B41" s="649" t="s">
        <v>2154</v>
      </c>
      <c r="C41" s="652">
        <v>13700.25</v>
      </c>
      <c r="D41" s="650">
        <v>13800</v>
      </c>
      <c r="E41" s="650">
        <v>18131.45</v>
      </c>
      <c r="F41" s="649">
        <v>0</v>
      </c>
      <c r="G41" s="649">
        <v>99.75</v>
      </c>
      <c r="H41" s="649">
        <v>1</v>
      </c>
      <c r="I41" s="649" t="s">
        <v>1625</v>
      </c>
      <c r="J41" s="649"/>
      <c r="K41" s="649"/>
      <c r="L41" s="651" t="s">
        <v>2146</v>
      </c>
      <c r="M41" s="651"/>
      <c r="N41" s="651"/>
      <c r="O41" s="651"/>
      <c r="P41" s="651" t="s">
        <v>856</v>
      </c>
      <c r="Q41" s="651" t="s">
        <v>857</v>
      </c>
      <c r="R41" s="651"/>
      <c r="S41" s="651"/>
    </row>
    <row r="42" spans="1:19">
      <c r="A42" s="649" t="s">
        <v>858</v>
      </c>
      <c r="B42" s="649" t="s">
        <v>2154</v>
      </c>
      <c r="C42" s="652">
        <v>98189.23</v>
      </c>
      <c r="D42" s="650">
        <v>123000</v>
      </c>
      <c r="E42" s="650">
        <v>6054.3</v>
      </c>
      <c r="F42" s="649">
        <v>0</v>
      </c>
      <c r="G42" s="649">
        <v>24810.77</v>
      </c>
      <c r="H42" s="649">
        <v>20</v>
      </c>
      <c r="I42" s="649" t="s">
        <v>1625</v>
      </c>
      <c r="J42" s="649"/>
      <c r="K42" s="649"/>
      <c r="L42" s="651" t="s">
        <v>2146</v>
      </c>
      <c r="M42" s="651"/>
      <c r="N42" s="651"/>
      <c r="O42" s="651"/>
      <c r="P42" s="651" t="s">
        <v>859</v>
      </c>
      <c r="Q42" s="651" t="s">
        <v>1074</v>
      </c>
      <c r="R42" s="651" t="s">
        <v>860</v>
      </c>
      <c r="S42" s="651"/>
    </row>
    <row r="43" spans="1:19">
      <c r="A43" s="649" t="s">
        <v>861</v>
      </c>
      <c r="B43" s="649" t="s">
        <v>2154</v>
      </c>
      <c r="C43" s="652">
        <v>363842.08</v>
      </c>
      <c r="D43" s="650">
        <v>364300</v>
      </c>
      <c r="E43" s="650">
        <v>93464.34</v>
      </c>
      <c r="F43" s="649">
        <v>0</v>
      </c>
      <c r="G43" s="649">
        <v>457.92</v>
      </c>
      <c r="H43" s="649">
        <v>0</v>
      </c>
      <c r="I43" s="649" t="s">
        <v>1625</v>
      </c>
      <c r="J43" s="649"/>
      <c r="K43" s="649"/>
      <c r="L43" s="651" t="s">
        <v>2146</v>
      </c>
      <c r="M43" s="651"/>
      <c r="N43" s="651"/>
      <c r="O43" s="651"/>
      <c r="P43" s="651" t="s">
        <v>862</v>
      </c>
      <c r="Q43" s="651" t="s">
        <v>1074</v>
      </c>
      <c r="R43" s="651" t="s">
        <v>863</v>
      </c>
      <c r="S43" s="651"/>
    </row>
    <row r="44" spans="1:19">
      <c r="A44" s="649" t="s">
        <v>864</v>
      </c>
      <c r="B44" s="649" t="s">
        <v>2154</v>
      </c>
      <c r="C44" s="652">
        <v>68853.73</v>
      </c>
      <c r="D44" s="650">
        <v>135000</v>
      </c>
      <c r="E44" s="650">
        <v>22763.9</v>
      </c>
      <c r="F44" s="649">
        <v>0</v>
      </c>
      <c r="G44" s="649">
        <v>131.88</v>
      </c>
      <c r="H44" s="649">
        <v>0</v>
      </c>
      <c r="I44" s="649" t="s">
        <v>1625</v>
      </c>
      <c r="J44" s="649"/>
      <c r="K44" s="649"/>
      <c r="L44" s="651" t="s">
        <v>2146</v>
      </c>
      <c r="M44" s="651"/>
      <c r="N44" s="651"/>
      <c r="O44" s="651"/>
      <c r="P44" s="651" t="s">
        <v>865</v>
      </c>
      <c r="Q44" s="651" t="s">
        <v>1074</v>
      </c>
      <c r="R44" s="651" t="s">
        <v>3368</v>
      </c>
      <c r="S44" s="651"/>
    </row>
    <row r="45" spans="1:19">
      <c r="A45" s="649" t="s">
        <v>866</v>
      </c>
      <c r="B45" s="649" t="s">
        <v>2154</v>
      </c>
      <c r="C45" s="652">
        <v>15034</v>
      </c>
      <c r="D45" s="650">
        <v>15100</v>
      </c>
      <c r="E45" s="650">
        <v>0</v>
      </c>
      <c r="F45" s="649">
        <v>0</v>
      </c>
      <c r="G45" s="649">
        <v>66</v>
      </c>
      <c r="H45" s="649">
        <v>0</v>
      </c>
      <c r="I45" s="649" t="s">
        <v>1625</v>
      </c>
      <c r="J45" s="649"/>
      <c r="K45" s="649"/>
      <c r="L45" s="651" t="s">
        <v>2146</v>
      </c>
      <c r="M45" s="651"/>
      <c r="N45" s="651"/>
      <c r="O45" s="651"/>
      <c r="P45" s="651" t="s">
        <v>867</v>
      </c>
      <c r="Q45" s="651" t="s">
        <v>780</v>
      </c>
      <c r="R45" s="651" t="s">
        <v>868</v>
      </c>
      <c r="S45" s="651"/>
    </row>
    <row r="46" spans="1:19">
      <c r="A46" s="649" t="s">
        <v>869</v>
      </c>
      <c r="B46" s="649" t="s">
        <v>2154</v>
      </c>
      <c r="C46" s="652">
        <v>4543.62</v>
      </c>
      <c r="D46" s="650">
        <v>4600</v>
      </c>
      <c r="E46" s="650">
        <v>0</v>
      </c>
      <c r="F46" s="649">
        <v>0</v>
      </c>
      <c r="G46" s="649">
        <v>56.38</v>
      </c>
      <c r="H46" s="649">
        <v>1</v>
      </c>
      <c r="I46" s="649" t="s">
        <v>1625</v>
      </c>
      <c r="J46" s="649"/>
      <c r="K46" s="649"/>
      <c r="L46" s="651" t="s">
        <v>2146</v>
      </c>
      <c r="M46" s="651"/>
      <c r="N46" s="651"/>
      <c r="O46" s="651"/>
      <c r="P46" s="651" t="s">
        <v>870</v>
      </c>
      <c r="Q46" s="651" t="s">
        <v>871</v>
      </c>
      <c r="R46" s="651" t="s">
        <v>1074</v>
      </c>
      <c r="S46" s="651" t="s">
        <v>872</v>
      </c>
    </row>
    <row r="47" spans="1:19">
      <c r="A47" s="649" t="s">
        <v>873</v>
      </c>
      <c r="B47" s="649" t="s">
        <v>2154</v>
      </c>
      <c r="C47" s="652">
        <v>77300.97</v>
      </c>
      <c r="D47" s="650">
        <v>77400</v>
      </c>
      <c r="E47" s="650">
        <v>0</v>
      </c>
      <c r="F47" s="649">
        <v>0</v>
      </c>
      <c r="G47" s="649">
        <v>99.03</v>
      </c>
      <c r="H47" s="649">
        <v>0</v>
      </c>
      <c r="I47" s="649" t="s">
        <v>1625</v>
      </c>
      <c r="J47" s="649"/>
      <c r="K47" s="649"/>
      <c r="L47" s="651" t="s">
        <v>2146</v>
      </c>
      <c r="M47" s="651"/>
      <c r="N47" s="651"/>
      <c r="O47" s="651"/>
      <c r="P47" s="651" t="s">
        <v>874</v>
      </c>
      <c r="Q47" s="651" t="s">
        <v>871</v>
      </c>
      <c r="R47" s="651" t="s">
        <v>1074</v>
      </c>
      <c r="S47" s="651"/>
    </row>
    <row r="48" spans="1:19">
      <c r="A48" s="649" t="s">
        <v>875</v>
      </c>
      <c r="B48" s="649" t="s">
        <v>2154</v>
      </c>
      <c r="C48" s="652">
        <v>14594.92</v>
      </c>
      <c r="D48" s="650">
        <v>15000</v>
      </c>
      <c r="E48" s="650">
        <v>0</v>
      </c>
      <c r="F48" s="649">
        <v>0</v>
      </c>
      <c r="G48" s="649">
        <v>405.08</v>
      </c>
      <c r="H48" s="649">
        <v>3</v>
      </c>
      <c r="I48" s="649" t="s">
        <v>1625</v>
      </c>
      <c r="J48" s="649"/>
      <c r="K48" s="649"/>
      <c r="L48" s="651" t="s">
        <v>2146</v>
      </c>
      <c r="M48" s="651"/>
      <c r="N48" s="651"/>
      <c r="O48" s="651"/>
      <c r="P48" s="651" t="s">
        <v>3252</v>
      </c>
      <c r="Q48" s="651" t="s">
        <v>876</v>
      </c>
      <c r="R48" s="651"/>
      <c r="S48" s="651"/>
    </row>
    <row r="49" spans="1:19">
      <c r="A49" s="649" t="s">
        <v>877</v>
      </c>
      <c r="B49" s="649" t="s">
        <v>2154</v>
      </c>
      <c r="C49" s="652">
        <v>1484.17</v>
      </c>
      <c r="D49" s="650">
        <v>1650</v>
      </c>
      <c r="E49" s="650">
        <v>279.67</v>
      </c>
      <c r="F49" s="649">
        <v>0</v>
      </c>
      <c r="G49" s="649">
        <v>165.83</v>
      </c>
      <c r="H49" s="649">
        <v>10</v>
      </c>
      <c r="I49" s="649" t="s">
        <v>1625</v>
      </c>
      <c r="J49" s="649"/>
      <c r="K49" s="649"/>
      <c r="L49" s="651" t="s">
        <v>2146</v>
      </c>
      <c r="M49" s="651"/>
      <c r="N49" s="651"/>
      <c r="O49" s="651"/>
      <c r="P49" s="651" t="s">
        <v>878</v>
      </c>
      <c r="Q49" s="651" t="s">
        <v>780</v>
      </c>
      <c r="R49" s="651" t="s">
        <v>879</v>
      </c>
      <c r="S49" s="651"/>
    </row>
    <row r="50" spans="1:19">
      <c r="A50" s="649" t="s">
        <v>880</v>
      </c>
      <c r="B50" s="649" t="s">
        <v>2154</v>
      </c>
      <c r="C50" s="652">
        <v>85157.9</v>
      </c>
      <c r="D50" s="650">
        <v>86000</v>
      </c>
      <c r="E50" s="650">
        <v>15482.28</v>
      </c>
      <c r="F50" s="649">
        <v>0</v>
      </c>
      <c r="G50" s="649">
        <v>842.1</v>
      </c>
      <c r="H50" s="649">
        <v>1</v>
      </c>
      <c r="I50" s="649" t="s">
        <v>1625</v>
      </c>
      <c r="J50" s="649"/>
      <c r="K50" s="649"/>
      <c r="L50" s="651" t="s">
        <v>2146</v>
      </c>
      <c r="M50" s="651"/>
      <c r="N50" s="651"/>
      <c r="O50" s="651"/>
      <c r="P50" s="651" t="s">
        <v>881</v>
      </c>
      <c r="Q50" s="651" t="s">
        <v>780</v>
      </c>
      <c r="R50" s="651" t="s">
        <v>882</v>
      </c>
      <c r="S50" s="651"/>
    </row>
    <row r="51" spans="1:19">
      <c r="A51" s="649" t="s">
        <v>883</v>
      </c>
      <c r="B51" s="649" t="s">
        <v>2154</v>
      </c>
      <c r="C51" s="652">
        <v>1280113.3400000001</v>
      </c>
      <c r="D51" s="650">
        <v>1218000</v>
      </c>
      <c r="E51" s="650">
        <v>181288.07</v>
      </c>
      <c r="F51" s="649">
        <v>0</v>
      </c>
      <c r="G51" s="649">
        <v>687.06</v>
      </c>
      <c r="H51" s="649">
        <v>0</v>
      </c>
      <c r="I51" s="649" t="s">
        <v>1625</v>
      </c>
      <c r="J51" s="649"/>
      <c r="K51" s="649"/>
      <c r="L51" s="651" t="s">
        <v>2146</v>
      </c>
      <c r="M51" s="651"/>
      <c r="N51" s="651"/>
      <c r="O51" s="651"/>
      <c r="P51" s="651" t="s">
        <v>63</v>
      </c>
      <c r="Q51" s="651" t="s">
        <v>780</v>
      </c>
      <c r="R51" s="651" t="s">
        <v>64</v>
      </c>
      <c r="S51" s="651"/>
    </row>
    <row r="52" spans="1:19">
      <c r="A52" s="649" t="s">
        <v>65</v>
      </c>
      <c r="B52" s="649" t="s">
        <v>2154</v>
      </c>
      <c r="C52" s="652">
        <v>274691.62</v>
      </c>
      <c r="D52" s="650">
        <v>519000</v>
      </c>
      <c r="E52" s="650">
        <v>-222506.5</v>
      </c>
      <c r="F52" s="649">
        <v>0</v>
      </c>
      <c r="G52" s="649">
        <v>244308.38</v>
      </c>
      <c r="H52" s="649">
        <v>47</v>
      </c>
      <c r="I52" s="649" t="s">
        <v>1625</v>
      </c>
      <c r="J52" s="649"/>
      <c r="K52" s="649"/>
      <c r="L52" s="651" t="s">
        <v>2146</v>
      </c>
      <c r="M52" s="651"/>
      <c r="N52" s="651"/>
      <c r="O52" s="651"/>
      <c r="P52" s="651" t="s">
        <v>66</v>
      </c>
      <c r="Q52" s="651" t="s">
        <v>1074</v>
      </c>
      <c r="R52" s="651" t="s">
        <v>67</v>
      </c>
      <c r="S52" s="651"/>
    </row>
    <row r="53" spans="1:19">
      <c r="A53" s="649" t="s">
        <v>68</v>
      </c>
      <c r="B53" s="649" t="s">
        <v>2154</v>
      </c>
      <c r="C53" s="652">
        <v>788612.97</v>
      </c>
      <c r="D53" s="650">
        <v>789000</v>
      </c>
      <c r="E53" s="650">
        <v>123026.5</v>
      </c>
      <c r="F53" s="649">
        <v>0</v>
      </c>
      <c r="G53" s="649">
        <v>387.03</v>
      </c>
      <c r="H53" s="649">
        <v>0</v>
      </c>
      <c r="I53" s="649" t="s">
        <v>1625</v>
      </c>
      <c r="J53" s="649"/>
      <c r="K53" s="649"/>
      <c r="L53" s="651" t="s">
        <v>2146</v>
      </c>
      <c r="M53" s="651"/>
      <c r="N53" s="651"/>
      <c r="O53" s="651"/>
      <c r="P53" s="651" t="s">
        <v>66</v>
      </c>
      <c r="Q53" s="651" t="s">
        <v>1074</v>
      </c>
      <c r="R53" s="651" t="s">
        <v>69</v>
      </c>
      <c r="S53" s="651"/>
    </row>
    <row r="54" spans="1:19">
      <c r="A54" s="649" t="s">
        <v>70</v>
      </c>
      <c r="B54" s="649" t="s">
        <v>2154</v>
      </c>
      <c r="C54" s="652">
        <v>79762.12</v>
      </c>
      <c r="D54" s="650">
        <v>80000</v>
      </c>
      <c r="E54" s="650">
        <v>6267.8</v>
      </c>
      <c r="F54" s="649">
        <v>0</v>
      </c>
      <c r="G54" s="649">
        <v>237.88</v>
      </c>
      <c r="H54" s="649">
        <v>0</v>
      </c>
      <c r="I54" s="649" t="s">
        <v>1625</v>
      </c>
      <c r="J54" s="649"/>
      <c r="K54" s="649"/>
      <c r="L54" s="651" t="s">
        <v>2146</v>
      </c>
      <c r="M54" s="651"/>
      <c r="N54" s="651"/>
      <c r="O54" s="651"/>
      <c r="P54" s="651" t="s">
        <v>71</v>
      </c>
      <c r="Q54" s="651"/>
      <c r="R54" s="651"/>
      <c r="S54" s="651"/>
    </row>
    <row r="55" spans="1:19">
      <c r="A55" s="649" t="s">
        <v>72</v>
      </c>
      <c r="B55" s="649" t="s">
        <v>2154</v>
      </c>
      <c r="C55" s="652">
        <v>107944.37</v>
      </c>
      <c r="D55" s="650">
        <v>108000</v>
      </c>
      <c r="E55" s="650">
        <v>28950</v>
      </c>
      <c r="F55" s="649">
        <v>0</v>
      </c>
      <c r="G55" s="649">
        <v>55.63</v>
      </c>
      <c r="H55" s="649">
        <v>0</v>
      </c>
      <c r="I55" s="649" t="s">
        <v>1625</v>
      </c>
      <c r="J55" s="649"/>
      <c r="K55" s="649"/>
      <c r="L55" s="651" t="s">
        <v>2146</v>
      </c>
      <c r="M55" s="651"/>
      <c r="N55" s="651"/>
      <c r="O55" s="651"/>
      <c r="P55" s="651" t="s">
        <v>73</v>
      </c>
      <c r="Q55" s="651" t="s">
        <v>74</v>
      </c>
      <c r="R55" s="651"/>
      <c r="S55" s="651"/>
    </row>
    <row r="56" spans="1:19">
      <c r="A56" s="649" t="s">
        <v>75</v>
      </c>
      <c r="B56" s="649" t="s">
        <v>2154</v>
      </c>
      <c r="C56" s="652">
        <v>0</v>
      </c>
      <c r="D56" s="650">
        <v>0</v>
      </c>
      <c r="E56" s="650">
        <v>-146150.96</v>
      </c>
      <c r="F56" s="649">
        <v>0</v>
      </c>
      <c r="G56" s="649">
        <v>0</v>
      </c>
      <c r="H56" s="649">
        <v>0</v>
      </c>
      <c r="I56" s="649" t="s">
        <v>1625</v>
      </c>
      <c r="J56" s="649"/>
      <c r="K56" s="649"/>
      <c r="L56" s="651" t="s">
        <v>2146</v>
      </c>
      <c r="M56" s="651"/>
      <c r="N56" s="651"/>
      <c r="O56" s="651"/>
      <c r="P56" s="651" t="s">
        <v>76</v>
      </c>
      <c r="Q56" s="651" t="s">
        <v>77</v>
      </c>
      <c r="R56" s="651" t="s">
        <v>78</v>
      </c>
      <c r="S56" s="651"/>
    </row>
    <row r="57" spans="1:19">
      <c r="A57" s="649" t="s">
        <v>79</v>
      </c>
      <c r="B57" s="649" t="s">
        <v>2154</v>
      </c>
      <c r="C57" s="652">
        <v>63064.67</v>
      </c>
      <c r="D57" s="650">
        <v>69000</v>
      </c>
      <c r="E57" s="650">
        <v>-4947.25</v>
      </c>
      <c r="F57" s="649">
        <v>0</v>
      </c>
      <c r="G57" s="649">
        <v>5935.33</v>
      </c>
      <c r="H57" s="649">
        <v>9</v>
      </c>
      <c r="I57" s="649" t="s">
        <v>1625</v>
      </c>
      <c r="J57" s="649"/>
      <c r="K57" s="649"/>
      <c r="L57" s="651" t="s">
        <v>2146</v>
      </c>
      <c r="M57" s="651"/>
      <c r="N57" s="651"/>
      <c r="O57" s="651"/>
      <c r="P57" s="651" t="s">
        <v>80</v>
      </c>
      <c r="Q57" s="651" t="s">
        <v>81</v>
      </c>
      <c r="R57" s="651" t="s">
        <v>82</v>
      </c>
      <c r="S57" s="651"/>
    </row>
    <row r="58" spans="1:19">
      <c r="A58" s="649" t="s">
        <v>83</v>
      </c>
      <c r="B58" s="649" t="s">
        <v>2154</v>
      </c>
      <c r="C58" s="652">
        <v>0</v>
      </c>
      <c r="D58" s="650">
        <v>0</v>
      </c>
      <c r="E58" s="650">
        <v>0</v>
      </c>
      <c r="F58" s="649">
        <v>0</v>
      </c>
      <c r="G58" s="649">
        <v>0</v>
      </c>
      <c r="H58" s="649">
        <v>0</v>
      </c>
      <c r="I58" s="649" t="s">
        <v>1625</v>
      </c>
      <c r="J58" s="649"/>
      <c r="K58" s="649"/>
      <c r="L58" s="651" t="s">
        <v>2146</v>
      </c>
      <c r="M58" s="651"/>
      <c r="N58" s="651"/>
      <c r="O58" s="651"/>
      <c r="P58" s="651" t="s">
        <v>84</v>
      </c>
      <c r="Q58" s="651" t="s">
        <v>85</v>
      </c>
      <c r="R58" s="651"/>
      <c r="S58" s="651"/>
    </row>
    <row r="59" spans="1:19">
      <c r="A59" s="649" t="s">
        <v>86</v>
      </c>
      <c r="B59" s="649" t="s">
        <v>2154</v>
      </c>
      <c r="C59" s="652">
        <v>199376.15</v>
      </c>
      <c r="D59" s="650">
        <v>220000</v>
      </c>
      <c r="E59" s="650">
        <v>58243.97</v>
      </c>
      <c r="F59" s="649">
        <v>0</v>
      </c>
      <c r="G59" s="649">
        <v>20623.849999999999</v>
      </c>
      <c r="H59" s="649">
        <v>9</v>
      </c>
      <c r="I59" s="649" t="s">
        <v>1625</v>
      </c>
      <c r="J59" s="649"/>
      <c r="K59" s="649"/>
      <c r="L59" s="651" t="s">
        <v>2146</v>
      </c>
      <c r="M59" s="651"/>
      <c r="N59" s="651"/>
      <c r="O59" s="651"/>
      <c r="P59" s="651" t="s">
        <v>3243</v>
      </c>
      <c r="Q59" s="651" t="s">
        <v>2486</v>
      </c>
      <c r="R59" s="651"/>
      <c r="S59" s="651"/>
    </row>
    <row r="60" spans="1:19">
      <c r="A60" s="649" t="s">
        <v>87</v>
      </c>
      <c r="B60" s="649" t="s">
        <v>2154</v>
      </c>
      <c r="C60" s="652">
        <v>55664.89</v>
      </c>
      <c r="D60" s="650">
        <v>60000</v>
      </c>
      <c r="E60" s="650">
        <v>55664.89</v>
      </c>
      <c r="F60" s="649">
        <v>0</v>
      </c>
      <c r="G60" s="649">
        <v>4335.1099999999997</v>
      </c>
      <c r="H60" s="649">
        <v>7</v>
      </c>
      <c r="I60" s="649" t="s">
        <v>1625</v>
      </c>
      <c r="J60" s="649"/>
      <c r="K60" s="649"/>
      <c r="L60" s="651" t="s">
        <v>2146</v>
      </c>
      <c r="M60" s="651"/>
      <c r="N60" s="651"/>
      <c r="O60" s="651"/>
      <c r="P60" s="651" t="s">
        <v>796</v>
      </c>
      <c r="Q60" s="651" t="s">
        <v>88</v>
      </c>
      <c r="R60" s="651"/>
      <c r="S60" s="651"/>
    </row>
    <row r="61" spans="1:19">
      <c r="A61" s="649" t="s">
        <v>89</v>
      </c>
      <c r="B61" s="649" t="s">
        <v>2154</v>
      </c>
      <c r="C61" s="652">
        <v>871461.23</v>
      </c>
      <c r="D61" s="650">
        <v>885000</v>
      </c>
      <c r="E61" s="650">
        <v>69369.41</v>
      </c>
      <c r="F61" s="649">
        <v>0</v>
      </c>
      <c r="G61" s="649">
        <v>13538.77</v>
      </c>
      <c r="H61" s="649">
        <v>2</v>
      </c>
      <c r="I61" s="649" t="s">
        <v>1625</v>
      </c>
      <c r="J61" s="649"/>
      <c r="K61" s="649"/>
      <c r="L61" s="651" t="s">
        <v>2146</v>
      </c>
      <c r="M61" s="651"/>
      <c r="N61" s="651"/>
      <c r="O61" s="651"/>
      <c r="P61" s="651" t="s">
        <v>90</v>
      </c>
      <c r="Q61" s="651" t="s">
        <v>91</v>
      </c>
      <c r="R61" s="651"/>
      <c r="S61" s="651"/>
    </row>
    <row r="62" spans="1:19">
      <c r="A62" s="649" t="s">
        <v>92</v>
      </c>
      <c r="B62" s="649" t="s">
        <v>2154</v>
      </c>
      <c r="C62" s="652">
        <v>0</v>
      </c>
      <c r="D62" s="650">
        <v>0</v>
      </c>
      <c r="E62" s="650">
        <v>0</v>
      </c>
      <c r="F62" s="649">
        <v>0</v>
      </c>
      <c r="G62" s="649">
        <v>0</v>
      </c>
      <c r="H62" s="649">
        <v>0</v>
      </c>
      <c r="I62" s="649" t="s">
        <v>1625</v>
      </c>
      <c r="J62" s="649"/>
      <c r="K62" s="649"/>
      <c r="L62" s="651" t="s">
        <v>2146</v>
      </c>
      <c r="M62" s="651"/>
      <c r="N62" s="651"/>
      <c r="O62" s="651" t="s">
        <v>2147</v>
      </c>
      <c r="P62" s="651" t="s">
        <v>93</v>
      </c>
      <c r="Q62" s="651" t="s">
        <v>94</v>
      </c>
      <c r="R62" s="651" t="s">
        <v>95</v>
      </c>
      <c r="S62" s="651"/>
    </row>
    <row r="63" spans="1:19">
      <c r="A63" s="649" t="s">
        <v>96</v>
      </c>
      <c r="B63" s="649" t="s">
        <v>2154</v>
      </c>
      <c r="C63" s="652">
        <v>0</v>
      </c>
      <c r="D63" s="650">
        <v>0</v>
      </c>
      <c r="E63" s="650">
        <v>0</v>
      </c>
      <c r="F63" s="649">
        <v>0</v>
      </c>
      <c r="G63" s="649">
        <v>0</v>
      </c>
      <c r="H63" s="649">
        <v>0</v>
      </c>
      <c r="I63" s="649" t="s">
        <v>1625</v>
      </c>
      <c r="J63" s="649"/>
      <c r="K63" s="649"/>
      <c r="L63" s="651" t="s">
        <v>2146</v>
      </c>
      <c r="M63" s="651"/>
      <c r="N63" s="651"/>
      <c r="O63" s="651" t="s">
        <v>2147</v>
      </c>
      <c r="P63" s="651" t="s">
        <v>3252</v>
      </c>
      <c r="Q63" s="651" t="s">
        <v>97</v>
      </c>
      <c r="R63" s="651" t="s">
        <v>98</v>
      </c>
      <c r="S63" s="651"/>
    </row>
    <row r="64" spans="1:19">
      <c r="A64" s="649" t="s">
        <v>99</v>
      </c>
      <c r="B64" s="649" t="s">
        <v>2154</v>
      </c>
      <c r="C64" s="652">
        <v>0</v>
      </c>
      <c r="D64" s="650">
        <v>0</v>
      </c>
      <c r="E64" s="650">
        <v>0</v>
      </c>
      <c r="F64" s="649">
        <v>0</v>
      </c>
      <c r="G64" s="649">
        <v>0</v>
      </c>
      <c r="H64" s="649">
        <v>0</v>
      </c>
      <c r="I64" s="649" t="s">
        <v>1625</v>
      </c>
      <c r="J64" s="649">
        <f>SUM(C14:C64)</f>
        <v>11235102</v>
      </c>
      <c r="K64" s="649"/>
      <c r="L64" s="651" t="s">
        <v>2146</v>
      </c>
      <c r="M64" s="651"/>
      <c r="N64" s="651"/>
      <c r="O64" s="651" t="s">
        <v>2147</v>
      </c>
      <c r="P64" s="651" t="s">
        <v>93</v>
      </c>
      <c r="Q64" s="651" t="s">
        <v>100</v>
      </c>
      <c r="R64" s="651" t="s">
        <v>95</v>
      </c>
      <c r="S64" s="651"/>
    </row>
    <row r="65" spans="1:19">
      <c r="A65" s="649" t="s">
        <v>101</v>
      </c>
      <c r="B65" s="649" t="s">
        <v>2155</v>
      </c>
      <c r="C65" s="652">
        <v>0</v>
      </c>
      <c r="D65" s="650">
        <v>0</v>
      </c>
      <c r="E65" s="650">
        <v>26586.76</v>
      </c>
      <c r="F65" s="649">
        <v>0</v>
      </c>
      <c r="G65" s="649">
        <v>0</v>
      </c>
      <c r="H65" s="649">
        <v>0</v>
      </c>
      <c r="I65" s="649" t="s">
        <v>773</v>
      </c>
      <c r="J65" s="649"/>
      <c r="K65" s="649"/>
      <c r="L65" s="651"/>
      <c r="M65" s="651"/>
      <c r="N65" s="651"/>
      <c r="O65" s="651"/>
      <c r="P65" s="651" t="s">
        <v>769</v>
      </c>
      <c r="Q65" s="651" t="s">
        <v>689</v>
      </c>
      <c r="R65" s="651"/>
      <c r="S65" s="651"/>
    </row>
    <row r="66" spans="1:19">
      <c r="A66" s="649" t="s">
        <v>102</v>
      </c>
      <c r="B66" s="649" t="s">
        <v>2155</v>
      </c>
      <c r="C66" s="652">
        <v>1204157.06</v>
      </c>
      <c r="D66" s="650">
        <v>1398564</v>
      </c>
      <c r="E66" s="650">
        <v>-72285.39</v>
      </c>
      <c r="F66" s="649">
        <v>0</v>
      </c>
      <c r="G66" s="649">
        <v>194406.94</v>
      </c>
      <c r="H66" s="649">
        <v>14</v>
      </c>
      <c r="I66" s="649" t="s">
        <v>1625</v>
      </c>
      <c r="J66" s="649"/>
      <c r="K66" s="649"/>
      <c r="L66" s="651" t="s">
        <v>2140</v>
      </c>
      <c r="M66" s="651"/>
      <c r="N66" s="651"/>
      <c r="O66" s="651" t="s">
        <v>2180</v>
      </c>
      <c r="P66" s="651" t="s">
        <v>103</v>
      </c>
      <c r="Q66" s="651" t="s">
        <v>104</v>
      </c>
      <c r="R66" s="651" t="s">
        <v>1074</v>
      </c>
      <c r="S66" s="651" t="s">
        <v>105</v>
      </c>
    </row>
    <row r="67" spans="1:19">
      <c r="A67" s="649" t="s">
        <v>106</v>
      </c>
      <c r="B67" s="649" t="s">
        <v>2155</v>
      </c>
      <c r="C67" s="652">
        <v>184489.53</v>
      </c>
      <c r="D67" s="650">
        <v>185000</v>
      </c>
      <c r="E67" s="650">
        <v>22261.919999999998</v>
      </c>
      <c r="F67" s="649">
        <v>0</v>
      </c>
      <c r="G67" s="649">
        <v>510.47</v>
      </c>
      <c r="H67" s="649">
        <v>0</v>
      </c>
      <c r="I67" s="649" t="s">
        <v>1625</v>
      </c>
      <c r="J67" s="649"/>
      <c r="K67" s="649"/>
      <c r="L67" s="651" t="s">
        <v>2140</v>
      </c>
      <c r="M67" s="651"/>
      <c r="N67" s="651"/>
      <c r="O67" s="651" t="s">
        <v>2180</v>
      </c>
      <c r="P67" s="651" t="s">
        <v>107</v>
      </c>
      <c r="Q67" s="651" t="s">
        <v>1074</v>
      </c>
      <c r="R67" s="651" t="s">
        <v>108</v>
      </c>
      <c r="S67" s="651"/>
    </row>
    <row r="68" spans="1:19">
      <c r="A68" s="649" t="s">
        <v>109</v>
      </c>
      <c r="B68" s="649" t="s">
        <v>2155</v>
      </c>
      <c r="C68" s="652">
        <v>111352.29</v>
      </c>
      <c r="D68" s="650">
        <v>147000</v>
      </c>
      <c r="E68" s="650">
        <v>40232.730000000003</v>
      </c>
      <c r="F68" s="649">
        <v>0</v>
      </c>
      <c r="G68" s="649">
        <v>35647.71</v>
      </c>
      <c r="H68" s="649">
        <v>24</v>
      </c>
      <c r="I68" s="649" t="s">
        <v>1625</v>
      </c>
      <c r="J68" s="649"/>
      <c r="K68" s="649"/>
      <c r="L68" s="651" t="s">
        <v>2140</v>
      </c>
      <c r="M68" s="651"/>
      <c r="N68" s="651"/>
      <c r="O68" s="651" t="s">
        <v>2180</v>
      </c>
      <c r="P68" s="651" t="s">
        <v>77</v>
      </c>
      <c r="Q68" s="651" t="s">
        <v>110</v>
      </c>
      <c r="R68" s="651" t="s">
        <v>1074</v>
      </c>
      <c r="S68" s="651" t="s">
        <v>111</v>
      </c>
    </row>
    <row r="69" spans="1:19">
      <c r="A69" s="649" t="s">
        <v>112</v>
      </c>
      <c r="B69" s="649" t="s">
        <v>2155</v>
      </c>
      <c r="C69" s="652">
        <v>136926.10999999999</v>
      </c>
      <c r="D69" s="650">
        <v>137000</v>
      </c>
      <c r="E69" s="650">
        <v>0</v>
      </c>
      <c r="F69" s="649">
        <v>0</v>
      </c>
      <c r="G69" s="649">
        <v>73.89</v>
      </c>
      <c r="H69" s="649">
        <v>0</v>
      </c>
      <c r="I69" s="649" t="s">
        <v>1625</v>
      </c>
      <c r="J69" s="649"/>
      <c r="K69" s="649"/>
      <c r="L69" s="651" t="s">
        <v>2140</v>
      </c>
      <c r="M69" s="651"/>
      <c r="N69" s="651"/>
      <c r="O69" s="651" t="s">
        <v>2180</v>
      </c>
      <c r="P69" s="651" t="s">
        <v>713</v>
      </c>
      <c r="Q69" s="651" t="s">
        <v>3445</v>
      </c>
      <c r="R69" s="651" t="s">
        <v>1074</v>
      </c>
      <c r="S69" s="651"/>
    </row>
    <row r="70" spans="1:19">
      <c r="A70" s="649" t="s">
        <v>113</v>
      </c>
      <c r="B70" s="649" t="s">
        <v>2155</v>
      </c>
      <c r="C70" s="652">
        <v>0</v>
      </c>
      <c r="D70" s="650">
        <v>0</v>
      </c>
      <c r="E70" s="650">
        <v>0</v>
      </c>
      <c r="F70" s="649">
        <v>0</v>
      </c>
      <c r="G70" s="649">
        <v>0</v>
      </c>
      <c r="H70" s="649">
        <v>0</v>
      </c>
      <c r="I70" s="649" t="s">
        <v>1625</v>
      </c>
      <c r="J70" s="649"/>
      <c r="K70" s="649"/>
      <c r="L70" s="651" t="s">
        <v>2140</v>
      </c>
      <c r="M70" s="651"/>
      <c r="N70" s="651"/>
      <c r="O70" s="651" t="s">
        <v>2180</v>
      </c>
      <c r="P70" s="651" t="s">
        <v>915</v>
      </c>
      <c r="Q70" s="651" t="s">
        <v>114</v>
      </c>
      <c r="R70" s="651" t="s">
        <v>1074</v>
      </c>
      <c r="S70" s="651" t="s">
        <v>115</v>
      </c>
    </row>
    <row r="71" spans="1:19">
      <c r="A71" s="649" t="s">
        <v>116</v>
      </c>
      <c r="B71" s="649" t="s">
        <v>2155</v>
      </c>
      <c r="C71" s="652">
        <v>7051.32</v>
      </c>
      <c r="D71" s="650">
        <v>7087</v>
      </c>
      <c r="E71" s="650">
        <v>653.76</v>
      </c>
      <c r="F71" s="649">
        <v>0</v>
      </c>
      <c r="G71" s="649">
        <v>35.68</v>
      </c>
      <c r="H71" s="649">
        <v>1</v>
      </c>
      <c r="I71" s="649" t="s">
        <v>1625</v>
      </c>
      <c r="J71" s="649"/>
      <c r="K71" s="649"/>
      <c r="L71" s="651" t="s">
        <v>2140</v>
      </c>
      <c r="M71" s="651"/>
      <c r="N71" s="651"/>
      <c r="O71" s="651" t="s">
        <v>1770</v>
      </c>
      <c r="P71" s="651" t="s">
        <v>1101</v>
      </c>
      <c r="Q71" s="651" t="s">
        <v>805</v>
      </c>
      <c r="R71" s="651"/>
      <c r="S71" s="651"/>
    </row>
    <row r="72" spans="1:19">
      <c r="A72" s="649" t="s">
        <v>117</v>
      </c>
      <c r="B72" s="649" t="s">
        <v>2155</v>
      </c>
      <c r="C72" s="652">
        <v>202494.53</v>
      </c>
      <c r="D72" s="650">
        <v>202500</v>
      </c>
      <c r="E72" s="650">
        <v>17054.66</v>
      </c>
      <c r="F72" s="649">
        <v>0</v>
      </c>
      <c r="G72" s="649">
        <v>5.47</v>
      </c>
      <c r="H72" s="649">
        <v>0</v>
      </c>
      <c r="I72" s="649" t="s">
        <v>1625</v>
      </c>
      <c r="J72" s="649"/>
      <c r="K72" s="649"/>
      <c r="L72" s="651" t="s">
        <v>2140</v>
      </c>
      <c r="M72" s="651"/>
      <c r="N72" s="651"/>
      <c r="O72" s="651" t="s">
        <v>2180</v>
      </c>
      <c r="P72" s="651" t="s">
        <v>118</v>
      </c>
      <c r="Q72" s="651" t="s">
        <v>805</v>
      </c>
      <c r="R72" s="651"/>
      <c r="S72" s="651"/>
    </row>
    <row r="73" spans="1:19">
      <c r="A73" s="649" t="s">
        <v>119</v>
      </c>
      <c r="B73" s="649" t="s">
        <v>2155</v>
      </c>
      <c r="C73" s="652">
        <v>0</v>
      </c>
      <c r="D73" s="650">
        <v>0</v>
      </c>
      <c r="E73" s="650">
        <v>0</v>
      </c>
      <c r="F73" s="649">
        <v>0</v>
      </c>
      <c r="G73" s="649">
        <v>0</v>
      </c>
      <c r="H73" s="649">
        <v>0</v>
      </c>
      <c r="I73" s="649" t="s">
        <v>1625</v>
      </c>
      <c r="J73" s="649"/>
      <c r="K73" s="649"/>
      <c r="L73" s="651" t="s">
        <v>2140</v>
      </c>
      <c r="M73" s="651"/>
      <c r="N73" s="651"/>
      <c r="O73" s="651" t="s">
        <v>2180</v>
      </c>
      <c r="P73" s="651" t="s">
        <v>120</v>
      </c>
      <c r="Q73" s="651" t="s">
        <v>121</v>
      </c>
      <c r="R73" s="651"/>
      <c r="S73" s="651"/>
    </row>
    <row r="74" spans="1:19">
      <c r="A74" s="649" t="s">
        <v>122</v>
      </c>
      <c r="B74" s="649" t="s">
        <v>2155</v>
      </c>
      <c r="C74" s="652">
        <v>33708</v>
      </c>
      <c r="D74" s="650">
        <v>33800</v>
      </c>
      <c r="E74" s="650">
        <v>2872.8</v>
      </c>
      <c r="F74" s="649">
        <v>0</v>
      </c>
      <c r="G74" s="649">
        <v>92</v>
      </c>
      <c r="H74" s="649">
        <v>0</v>
      </c>
      <c r="I74" s="649" t="s">
        <v>1625</v>
      </c>
      <c r="J74" s="649"/>
      <c r="K74" s="649"/>
      <c r="L74" s="651" t="s">
        <v>2140</v>
      </c>
      <c r="M74" s="651"/>
      <c r="N74" s="651"/>
      <c r="O74" s="651" t="s">
        <v>2178</v>
      </c>
      <c r="P74" s="651" t="s">
        <v>816</v>
      </c>
      <c r="Q74" s="651" t="e">
        <f>-Medical</f>
        <v>#NAME?</v>
      </c>
      <c r="R74" s="651" t="s">
        <v>797</v>
      </c>
      <c r="S74" s="651"/>
    </row>
    <row r="75" spans="1:19">
      <c r="A75" s="649" t="s">
        <v>123</v>
      </c>
      <c r="B75" s="649" t="s">
        <v>2155</v>
      </c>
      <c r="C75" s="652">
        <v>198197.61</v>
      </c>
      <c r="D75" s="650">
        <v>198200</v>
      </c>
      <c r="E75" s="650">
        <v>17908.45</v>
      </c>
      <c r="F75" s="649">
        <v>0</v>
      </c>
      <c r="G75" s="649">
        <v>2.39</v>
      </c>
      <c r="H75" s="649">
        <v>0</v>
      </c>
      <c r="I75" s="649" t="s">
        <v>1625</v>
      </c>
      <c r="J75" s="649"/>
      <c r="K75" s="649"/>
      <c r="L75" s="651" t="s">
        <v>2140</v>
      </c>
      <c r="M75" s="651"/>
      <c r="N75" s="651"/>
      <c r="O75" s="651" t="s">
        <v>2181</v>
      </c>
      <c r="P75" s="651" t="s">
        <v>816</v>
      </c>
      <c r="Q75" s="651" t="s">
        <v>1074</v>
      </c>
      <c r="R75" s="651" t="s">
        <v>124</v>
      </c>
      <c r="S75" s="651" t="s">
        <v>125</v>
      </c>
    </row>
    <row r="76" spans="1:19">
      <c r="A76" s="649" t="s">
        <v>126</v>
      </c>
      <c r="B76" s="649" t="s">
        <v>2155</v>
      </c>
      <c r="C76" s="652">
        <v>13270.72</v>
      </c>
      <c r="D76" s="650">
        <v>13300</v>
      </c>
      <c r="E76" s="650">
        <v>1245.3900000000001</v>
      </c>
      <c r="F76" s="649">
        <v>0</v>
      </c>
      <c r="G76" s="649">
        <v>29.28</v>
      </c>
      <c r="H76" s="649">
        <v>0</v>
      </c>
      <c r="I76" s="649" t="s">
        <v>1625</v>
      </c>
      <c r="J76" s="649"/>
      <c r="K76" s="649"/>
      <c r="L76" s="651" t="s">
        <v>2140</v>
      </c>
      <c r="M76" s="651"/>
      <c r="N76" s="651"/>
      <c r="O76" s="651" t="s">
        <v>1827</v>
      </c>
      <c r="P76" s="651" t="s">
        <v>816</v>
      </c>
      <c r="Q76" s="651" t="s">
        <v>1074</v>
      </c>
      <c r="R76" s="651" t="s">
        <v>793</v>
      </c>
      <c r="S76" s="651"/>
    </row>
    <row r="77" spans="1:19">
      <c r="A77" s="649" t="s">
        <v>127</v>
      </c>
      <c r="B77" s="649" t="s">
        <v>2155</v>
      </c>
      <c r="C77" s="652">
        <v>10468.07</v>
      </c>
      <c r="D77" s="650">
        <v>10500</v>
      </c>
      <c r="E77" s="650">
        <v>1067.51</v>
      </c>
      <c r="F77" s="649">
        <v>0</v>
      </c>
      <c r="G77" s="649">
        <v>31.93</v>
      </c>
      <c r="H77" s="649">
        <v>0</v>
      </c>
      <c r="I77" s="649" t="s">
        <v>1625</v>
      </c>
      <c r="J77" s="649"/>
      <c r="K77" s="649"/>
      <c r="L77" s="651" t="s">
        <v>2140</v>
      </c>
      <c r="M77" s="651"/>
      <c r="N77" s="651"/>
      <c r="O77" s="651" t="s">
        <v>2182</v>
      </c>
      <c r="P77" s="651" t="s">
        <v>816</v>
      </c>
      <c r="Q77" s="651" t="s">
        <v>1074</v>
      </c>
      <c r="R77" s="651" t="s">
        <v>128</v>
      </c>
      <c r="S77" s="651" t="s">
        <v>129</v>
      </c>
    </row>
    <row r="78" spans="1:19">
      <c r="A78" s="649" t="s">
        <v>130</v>
      </c>
      <c r="B78" s="649" t="s">
        <v>2155</v>
      </c>
      <c r="C78" s="652">
        <v>547.20000000000005</v>
      </c>
      <c r="D78" s="650">
        <v>640</v>
      </c>
      <c r="E78" s="650">
        <v>48</v>
      </c>
      <c r="F78" s="649">
        <v>0</v>
      </c>
      <c r="G78" s="649">
        <v>92.8</v>
      </c>
      <c r="H78" s="649">
        <v>15</v>
      </c>
      <c r="I78" s="649" t="s">
        <v>1625</v>
      </c>
      <c r="J78" s="649"/>
      <c r="K78" s="649"/>
      <c r="L78" s="651" t="s">
        <v>2140</v>
      </c>
      <c r="M78" s="651"/>
      <c r="N78" s="651"/>
      <c r="O78" s="651" t="s">
        <v>2180</v>
      </c>
      <c r="P78" s="651" t="s">
        <v>2486</v>
      </c>
      <c r="Q78" s="651" t="s">
        <v>1074</v>
      </c>
      <c r="R78" s="651" t="s">
        <v>802</v>
      </c>
      <c r="S78" s="651"/>
    </row>
    <row r="79" spans="1:19">
      <c r="A79" s="649" t="s">
        <v>131</v>
      </c>
      <c r="B79" s="649" t="s">
        <v>2155</v>
      </c>
      <c r="C79" s="652">
        <v>0</v>
      </c>
      <c r="D79" s="650">
        <v>4988</v>
      </c>
      <c r="E79" s="650">
        <v>0</v>
      </c>
      <c r="F79" s="649">
        <v>0</v>
      </c>
      <c r="G79" s="649">
        <v>4988</v>
      </c>
      <c r="H79" s="649">
        <v>100</v>
      </c>
      <c r="I79" s="649" t="s">
        <v>1625</v>
      </c>
      <c r="J79" s="649"/>
      <c r="K79" s="649"/>
      <c r="L79" s="651" t="s">
        <v>2142</v>
      </c>
      <c r="M79" s="651"/>
      <c r="N79" s="651"/>
      <c r="O79" s="651"/>
      <c r="P79" s="651" t="s">
        <v>819</v>
      </c>
      <c r="Q79" s="651" t="s">
        <v>132</v>
      </c>
      <c r="R79" s="651" t="s">
        <v>133</v>
      </c>
      <c r="S79" s="651"/>
    </row>
    <row r="80" spans="1:19">
      <c r="A80" s="649" t="s">
        <v>134</v>
      </c>
      <c r="B80" s="649" t="s">
        <v>2155</v>
      </c>
      <c r="C80" s="652">
        <v>26.55</v>
      </c>
      <c r="D80" s="650">
        <v>40</v>
      </c>
      <c r="E80" s="650">
        <v>0</v>
      </c>
      <c r="F80" s="649">
        <v>0</v>
      </c>
      <c r="G80" s="649">
        <v>13.45</v>
      </c>
      <c r="H80" s="649">
        <v>34</v>
      </c>
      <c r="I80" s="649" t="s">
        <v>1625</v>
      </c>
      <c r="J80" s="649"/>
      <c r="K80" s="649"/>
      <c r="L80" s="651" t="s">
        <v>2143</v>
      </c>
      <c r="M80" s="651"/>
      <c r="N80" s="651"/>
      <c r="O80" s="651"/>
      <c r="P80" s="651" t="s">
        <v>825</v>
      </c>
      <c r="Q80" s="651" t="s">
        <v>780</v>
      </c>
      <c r="R80" s="651" t="s">
        <v>826</v>
      </c>
      <c r="S80" s="651"/>
    </row>
    <row r="81" spans="1:19">
      <c r="A81" s="649" t="s">
        <v>135</v>
      </c>
      <c r="B81" s="649" t="s">
        <v>2155</v>
      </c>
      <c r="C81" s="652">
        <v>0</v>
      </c>
      <c r="D81" s="650">
        <v>0</v>
      </c>
      <c r="E81" s="650">
        <v>0</v>
      </c>
      <c r="F81" s="649">
        <v>0</v>
      </c>
      <c r="G81" s="649">
        <v>0</v>
      </c>
      <c r="H81" s="649">
        <v>0</v>
      </c>
      <c r="I81" s="649" t="s">
        <v>1625</v>
      </c>
      <c r="J81" s="649"/>
      <c r="K81" s="649"/>
      <c r="L81" s="651" t="s">
        <v>2143</v>
      </c>
      <c r="M81" s="651"/>
      <c r="N81" s="651"/>
      <c r="O81" s="651"/>
      <c r="P81" s="651" t="s">
        <v>136</v>
      </c>
      <c r="Q81" s="651" t="s">
        <v>137</v>
      </c>
      <c r="R81" s="651"/>
      <c r="S81" s="651"/>
    </row>
    <row r="82" spans="1:19">
      <c r="A82" s="649" t="s">
        <v>138</v>
      </c>
      <c r="B82" s="649" t="s">
        <v>2155</v>
      </c>
      <c r="C82" s="652">
        <v>0</v>
      </c>
      <c r="D82" s="650">
        <v>0</v>
      </c>
      <c r="E82" s="650">
        <v>0</v>
      </c>
      <c r="F82" s="649">
        <v>0</v>
      </c>
      <c r="G82" s="649">
        <v>0</v>
      </c>
      <c r="H82" s="649">
        <v>0</v>
      </c>
      <c r="I82" s="649" t="s">
        <v>1625</v>
      </c>
      <c r="J82" s="649"/>
      <c r="K82" s="649"/>
      <c r="L82" s="651" t="s">
        <v>19</v>
      </c>
      <c r="M82" s="651"/>
      <c r="N82" s="651"/>
      <c r="O82" s="651" t="s">
        <v>19</v>
      </c>
      <c r="P82" s="651" t="s">
        <v>832</v>
      </c>
      <c r="Q82" s="651" t="s">
        <v>833</v>
      </c>
      <c r="R82" s="651"/>
      <c r="S82" s="651"/>
    </row>
    <row r="83" spans="1:19">
      <c r="A83" s="649" t="s">
        <v>139</v>
      </c>
      <c r="B83" s="649" t="s">
        <v>2155</v>
      </c>
      <c r="C83" s="652">
        <v>33094.33</v>
      </c>
      <c r="D83" s="650">
        <v>34000</v>
      </c>
      <c r="E83" s="650">
        <v>24687.71</v>
      </c>
      <c r="F83" s="649">
        <v>0</v>
      </c>
      <c r="G83" s="649">
        <v>905.67</v>
      </c>
      <c r="H83" s="649">
        <v>3</v>
      </c>
      <c r="I83" s="649" t="s">
        <v>1625</v>
      </c>
      <c r="J83" s="649"/>
      <c r="K83" s="649"/>
      <c r="L83" s="651" t="s">
        <v>2146</v>
      </c>
      <c r="M83" s="651"/>
      <c r="N83" s="651"/>
      <c r="O83" s="651"/>
      <c r="P83" s="651" t="s">
        <v>849</v>
      </c>
      <c r="Q83" s="651" t="s">
        <v>780</v>
      </c>
      <c r="R83" s="651" t="s">
        <v>850</v>
      </c>
      <c r="S83" s="651"/>
    </row>
    <row r="84" spans="1:19">
      <c r="A84" s="649" t="s">
        <v>140</v>
      </c>
      <c r="B84" s="649" t="s">
        <v>2155</v>
      </c>
      <c r="C84" s="652">
        <v>743219.42</v>
      </c>
      <c r="D84" s="650">
        <v>744000</v>
      </c>
      <c r="E84" s="650">
        <v>320917.03999999998</v>
      </c>
      <c r="F84" s="649">
        <v>0</v>
      </c>
      <c r="G84" s="649">
        <v>780.58</v>
      </c>
      <c r="H84" s="649">
        <v>0</v>
      </c>
      <c r="I84" s="649" t="s">
        <v>1625</v>
      </c>
      <c r="J84" s="649"/>
      <c r="K84" s="649"/>
      <c r="L84" s="651" t="s">
        <v>2146</v>
      </c>
      <c r="M84" s="651"/>
      <c r="N84" s="651"/>
      <c r="O84" s="651"/>
      <c r="P84" s="651" t="s">
        <v>141</v>
      </c>
      <c r="Q84" s="651" t="s">
        <v>780</v>
      </c>
      <c r="R84" s="651" t="s">
        <v>142</v>
      </c>
      <c r="S84" s="651"/>
    </row>
    <row r="85" spans="1:19">
      <c r="A85" s="649" t="s">
        <v>143</v>
      </c>
      <c r="B85" s="649" t="s">
        <v>2155</v>
      </c>
      <c r="C85" s="652">
        <v>20</v>
      </c>
      <c r="D85" s="650">
        <v>52</v>
      </c>
      <c r="E85" s="650">
        <v>0</v>
      </c>
      <c r="F85" s="649">
        <v>0</v>
      </c>
      <c r="G85" s="649">
        <v>32</v>
      </c>
      <c r="H85" s="649">
        <v>62</v>
      </c>
      <c r="I85" s="649" t="s">
        <v>1625</v>
      </c>
      <c r="J85" s="649"/>
      <c r="K85" s="649"/>
      <c r="L85" s="651" t="s">
        <v>2146</v>
      </c>
      <c r="M85" s="651"/>
      <c r="N85" s="651"/>
      <c r="O85" s="651"/>
      <c r="P85" s="651" t="s">
        <v>856</v>
      </c>
      <c r="Q85" s="651" t="s">
        <v>857</v>
      </c>
      <c r="R85" s="651"/>
      <c r="S85" s="651"/>
    </row>
    <row r="86" spans="1:19">
      <c r="A86" s="649" t="s">
        <v>144</v>
      </c>
      <c r="B86" s="649" t="s">
        <v>2155</v>
      </c>
      <c r="C86" s="652">
        <v>34022.15</v>
      </c>
      <c r="D86" s="650">
        <v>35000</v>
      </c>
      <c r="E86" s="650">
        <v>19686.2</v>
      </c>
      <c r="F86" s="649">
        <v>0</v>
      </c>
      <c r="G86" s="649">
        <v>977.85</v>
      </c>
      <c r="H86" s="649">
        <v>3</v>
      </c>
      <c r="I86" s="649" t="s">
        <v>1625</v>
      </c>
      <c r="J86" s="649"/>
      <c r="K86" s="649"/>
      <c r="L86" s="651" t="s">
        <v>2146</v>
      </c>
      <c r="M86" s="651"/>
      <c r="N86" s="651"/>
      <c r="O86" s="651"/>
      <c r="P86" s="651" t="s">
        <v>862</v>
      </c>
      <c r="Q86" s="651" t="s">
        <v>1074</v>
      </c>
      <c r="R86" s="651" t="s">
        <v>145</v>
      </c>
      <c r="S86" s="651"/>
    </row>
    <row r="87" spans="1:19">
      <c r="A87" s="649" t="s">
        <v>146</v>
      </c>
      <c r="B87" s="649" t="s">
        <v>2155</v>
      </c>
      <c r="C87" s="652">
        <v>34993.96</v>
      </c>
      <c r="D87" s="650">
        <v>35000</v>
      </c>
      <c r="E87" s="650">
        <v>0</v>
      </c>
      <c r="F87" s="649">
        <v>0</v>
      </c>
      <c r="G87" s="649">
        <v>6.04</v>
      </c>
      <c r="H87" s="649">
        <v>0</v>
      </c>
      <c r="I87" s="649" t="s">
        <v>1625</v>
      </c>
      <c r="J87" s="649"/>
      <c r="K87" s="649"/>
      <c r="L87" s="651" t="s">
        <v>2146</v>
      </c>
      <c r="M87" s="651"/>
      <c r="N87" s="651"/>
      <c r="O87" s="651"/>
      <c r="P87" s="651" t="s">
        <v>3248</v>
      </c>
      <c r="Q87" s="651"/>
      <c r="R87" s="651"/>
      <c r="S87" s="651"/>
    </row>
    <row r="88" spans="1:19">
      <c r="A88" s="649" t="s">
        <v>147</v>
      </c>
      <c r="B88" s="649" t="s">
        <v>2155</v>
      </c>
      <c r="C88" s="652">
        <v>121.04</v>
      </c>
      <c r="D88" s="650">
        <v>220</v>
      </c>
      <c r="E88" s="650">
        <v>34.299999999999997</v>
      </c>
      <c r="F88" s="649">
        <v>0</v>
      </c>
      <c r="G88" s="649">
        <v>98.96</v>
      </c>
      <c r="H88" s="649">
        <v>45</v>
      </c>
      <c r="I88" s="649" t="s">
        <v>1625</v>
      </c>
      <c r="J88" s="649"/>
      <c r="K88" s="649"/>
      <c r="L88" s="651" t="s">
        <v>2146</v>
      </c>
      <c r="M88" s="651"/>
      <c r="N88" s="651"/>
      <c r="O88" s="651"/>
      <c r="P88" s="651" t="s">
        <v>878</v>
      </c>
      <c r="Q88" s="651" t="s">
        <v>780</v>
      </c>
      <c r="R88" s="651" t="s">
        <v>879</v>
      </c>
      <c r="S88" s="651"/>
    </row>
    <row r="89" spans="1:19">
      <c r="A89" s="649" t="s">
        <v>148</v>
      </c>
      <c r="B89" s="649" t="s">
        <v>2155</v>
      </c>
      <c r="C89" s="652">
        <v>13967.03</v>
      </c>
      <c r="D89" s="650">
        <v>14000</v>
      </c>
      <c r="E89" s="650">
        <v>4727.8100000000004</v>
      </c>
      <c r="F89" s="649">
        <v>0</v>
      </c>
      <c r="G89" s="649">
        <v>32.97</v>
      </c>
      <c r="H89" s="649">
        <v>0</v>
      </c>
      <c r="I89" s="649" t="s">
        <v>1625</v>
      </c>
      <c r="J89" s="649"/>
      <c r="K89" s="649"/>
      <c r="L89" s="651" t="s">
        <v>2146</v>
      </c>
      <c r="M89" s="651"/>
      <c r="N89" s="651"/>
      <c r="O89" s="651"/>
      <c r="P89" s="651" t="s">
        <v>881</v>
      </c>
      <c r="Q89" s="651" t="s">
        <v>780</v>
      </c>
      <c r="R89" s="651" t="s">
        <v>882</v>
      </c>
      <c r="S89" s="651"/>
    </row>
    <row r="90" spans="1:19">
      <c r="A90" s="649" t="s">
        <v>149</v>
      </c>
      <c r="B90" s="649" t="s">
        <v>2155</v>
      </c>
      <c r="C90" s="652">
        <v>376978.46</v>
      </c>
      <c r="D90" s="650">
        <v>377000</v>
      </c>
      <c r="E90" s="650">
        <v>31852.51</v>
      </c>
      <c r="F90" s="649">
        <v>0</v>
      </c>
      <c r="G90" s="649">
        <v>21.54</v>
      </c>
      <c r="H90" s="649">
        <v>0</v>
      </c>
      <c r="I90" s="649" t="s">
        <v>1625</v>
      </c>
      <c r="J90" s="649"/>
      <c r="K90" s="649"/>
      <c r="L90" s="651" t="s">
        <v>2146</v>
      </c>
      <c r="M90" s="651"/>
      <c r="N90" s="651"/>
      <c r="O90" s="651"/>
      <c r="P90" s="651" t="s">
        <v>63</v>
      </c>
      <c r="Q90" s="651" t="s">
        <v>780</v>
      </c>
      <c r="R90" s="651" t="s">
        <v>64</v>
      </c>
      <c r="S90" s="651"/>
    </row>
    <row r="91" spans="1:19">
      <c r="A91" s="649" t="s">
        <v>150</v>
      </c>
      <c r="B91" s="649" t="s">
        <v>2155</v>
      </c>
      <c r="C91" s="652">
        <v>5998.05</v>
      </c>
      <c r="D91" s="650">
        <v>6000</v>
      </c>
      <c r="E91" s="650">
        <v>46.67</v>
      </c>
      <c r="F91" s="649">
        <v>0</v>
      </c>
      <c r="G91" s="649">
        <v>1.95</v>
      </c>
      <c r="H91" s="649">
        <v>0</v>
      </c>
      <c r="I91" s="649" t="s">
        <v>1625</v>
      </c>
      <c r="J91" s="649"/>
      <c r="K91" s="649"/>
      <c r="L91" s="651" t="s">
        <v>2146</v>
      </c>
      <c r="M91" s="651"/>
      <c r="N91" s="651"/>
      <c r="O91" s="651"/>
      <c r="P91" s="651" t="s">
        <v>66</v>
      </c>
      <c r="Q91" s="651" t="s">
        <v>1074</v>
      </c>
      <c r="R91" s="651" t="s">
        <v>67</v>
      </c>
      <c r="S91" s="651"/>
    </row>
    <row r="92" spans="1:19">
      <c r="A92" s="649" t="s">
        <v>151</v>
      </c>
      <c r="B92" s="649" t="s">
        <v>2155</v>
      </c>
      <c r="C92" s="652">
        <v>44078.93</v>
      </c>
      <c r="D92" s="650">
        <v>44100</v>
      </c>
      <c r="E92" s="650">
        <v>3663.01</v>
      </c>
      <c r="F92" s="649">
        <v>0</v>
      </c>
      <c r="G92" s="649">
        <v>21.07</v>
      </c>
      <c r="H92" s="649">
        <v>0</v>
      </c>
      <c r="I92" s="649" t="s">
        <v>1625</v>
      </c>
      <c r="J92" s="649"/>
      <c r="K92" s="649"/>
      <c r="L92" s="651" t="s">
        <v>2146</v>
      </c>
      <c r="M92" s="651"/>
      <c r="N92" s="651"/>
      <c r="O92" s="651"/>
      <c r="P92" s="651" t="s">
        <v>66</v>
      </c>
      <c r="Q92" s="651" t="s">
        <v>1074</v>
      </c>
      <c r="R92" s="651" t="s">
        <v>69</v>
      </c>
      <c r="S92" s="651"/>
    </row>
    <row r="93" spans="1:19">
      <c r="A93" s="649" t="s">
        <v>152</v>
      </c>
      <c r="B93" s="649" t="s">
        <v>2155</v>
      </c>
      <c r="C93" s="652">
        <v>0</v>
      </c>
      <c r="D93" s="650">
        <v>0</v>
      </c>
      <c r="E93" s="650">
        <v>0</v>
      </c>
      <c r="F93" s="649">
        <v>0</v>
      </c>
      <c r="G93" s="649">
        <v>0</v>
      </c>
      <c r="H93" s="649">
        <v>0</v>
      </c>
      <c r="I93" s="649" t="s">
        <v>1625</v>
      </c>
      <c r="J93" s="649"/>
      <c r="K93" s="649"/>
      <c r="L93" s="651" t="s">
        <v>2146</v>
      </c>
      <c r="M93" s="651"/>
      <c r="N93" s="651"/>
      <c r="O93" s="651" t="s">
        <v>2147</v>
      </c>
      <c r="P93" s="651" t="s">
        <v>3252</v>
      </c>
      <c r="Q93" s="651" t="s">
        <v>153</v>
      </c>
      <c r="R93" s="651"/>
      <c r="S93" s="651"/>
    </row>
    <row r="94" spans="1:19">
      <c r="A94" s="649" t="s">
        <v>154</v>
      </c>
      <c r="B94" s="649" t="s">
        <v>2155</v>
      </c>
      <c r="C94" s="652">
        <v>0</v>
      </c>
      <c r="D94" s="650">
        <v>0</v>
      </c>
      <c r="E94" s="650">
        <v>0</v>
      </c>
      <c r="F94" s="649">
        <v>0</v>
      </c>
      <c r="G94" s="649">
        <v>0</v>
      </c>
      <c r="H94" s="649">
        <v>0</v>
      </c>
      <c r="I94" s="649" t="s">
        <v>1625</v>
      </c>
      <c r="J94" s="649">
        <f>SUM(C66:C94)</f>
        <v>3389182.36</v>
      </c>
      <c r="K94" s="649"/>
      <c r="L94" s="651" t="s">
        <v>2146</v>
      </c>
      <c r="M94" s="651"/>
      <c r="N94" s="651"/>
      <c r="O94" s="651" t="s">
        <v>2147</v>
      </c>
      <c r="P94" s="651" t="s">
        <v>155</v>
      </c>
      <c r="Q94" s="651" t="s">
        <v>156</v>
      </c>
      <c r="R94" s="651" t="s">
        <v>157</v>
      </c>
      <c r="S94" s="651"/>
    </row>
    <row r="95" spans="1:19">
      <c r="A95" s="649" t="s">
        <v>159</v>
      </c>
      <c r="B95" s="649" t="s">
        <v>2156</v>
      </c>
      <c r="C95" s="652">
        <v>0</v>
      </c>
      <c r="D95" s="650">
        <v>0</v>
      </c>
      <c r="E95" s="650">
        <v>6588.79</v>
      </c>
      <c r="F95" s="649">
        <v>0</v>
      </c>
      <c r="G95" s="649">
        <v>0</v>
      </c>
      <c r="H95" s="649">
        <v>0</v>
      </c>
      <c r="I95" s="649" t="s">
        <v>773</v>
      </c>
      <c r="J95" s="649"/>
      <c r="K95" s="649"/>
      <c r="L95" s="651"/>
      <c r="M95" s="651"/>
      <c r="N95" s="651"/>
      <c r="O95" s="651"/>
      <c r="P95" s="651" t="s">
        <v>769</v>
      </c>
      <c r="Q95" s="651" t="s">
        <v>689</v>
      </c>
      <c r="R95" s="651"/>
      <c r="S95" s="651"/>
    </row>
    <row r="96" spans="1:19">
      <c r="A96" s="649" t="s">
        <v>160</v>
      </c>
      <c r="B96" s="649" t="s">
        <v>2156</v>
      </c>
      <c r="C96" s="652">
        <v>0</v>
      </c>
      <c r="D96" s="650">
        <v>0</v>
      </c>
      <c r="E96" s="650">
        <v>0</v>
      </c>
      <c r="F96" s="649">
        <v>0</v>
      </c>
      <c r="G96" s="649">
        <v>0</v>
      </c>
      <c r="H96" s="649">
        <v>0</v>
      </c>
      <c r="I96" s="649" t="s">
        <v>1625</v>
      </c>
      <c r="J96" s="649"/>
      <c r="K96" s="649"/>
      <c r="L96" s="651" t="s">
        <v>2140</v>
      </c>
      <c r="M96" s="651"/>
      <c r="N96" s="651"/>
      <c r="O96" s="651" t="s">
        <v>2180</v>
      </c>
      <c r="P96" s="651" t="s">
        <v>103</v>
      </c>
      <c r="Q96" s="651" t="s">
        <v>104</v>
      </c>
      <c r="R96" s="651" t="s">
        <v>1074</v>
      </c>
      <c r="S96" s="651" t="s">
        <v>105</v>
      </c>
    </row>
    <row r="97" spans="1:19">
      <c r="A97" s="649" t="s">
        <v>161</v>
      </c>
      <c r="B97" s="649" t="s">
        <v>2156</v>
      </c>
      <c r="C97" s="652">
        <v>0</v>
      </c>
      <c r="D97" s="650">
        <v>0</v>
      </c>
      <c r="E97" s="650">
        <v>0</v>
      </c>
      <c r="F97" s="649">
        <v>0</v>
      </c>
      <c r="G97" s="649">
        <v>0</v>
      </c>
      <c r="H97" s="649">
        <v>0</v>
      </c>
      <c r="I97" s="649" t="s">
        <v>1625</v>
      </c>
      <c r="J97" s="649"/>
      <c r="K97" s="649"/>
      <c r="L97" s="651" t="s">
        <v>2140</v>
      </c>
      <c r="M97" s="651"/>
      <c r="N97" s="651"/>
      <c r="O97" s="651" t="s">
        <v>2180</v>
      </c>
      <c r="P97" s="651" t="s">
        <v>77</v>
      </c>
      <c r="Q97" s="651" t="s">
        <v>110</v>
      </c>
      <c r="R97" s="651" t="s">
        <v>1074</v>
      </c>
      <c r="S97" s="651" t="s">
        <v>111</v>
      </c>
    </row>
    <row r="98" spans="1:19">
      <c r="A98" s="649" t="s">
        <v>162</v>
      </c>
      <c r="B98" s="649" t="s">
        <v>2156</v>
      </c>
      <c r="C98" s="652">
        <v>0</v>
      </c>
      <c r="D98" s="650">
        <v>0</v>
      </c>
      <c r="E98" s="650">
        <v>0</v>
      </c>
      <c r="F98" s="649">
        <v>0</v>
      </c>
      <c r="G98" s="649">
        <v>0</v>
      </c>
      <c r="H98" s="649">
        <v>0</v>
      </c>
      <c r="I98" s="649" t="s">
        <v>1625</v>
      </c>
      <c r="J98" s="649"/>
      <c r="K98" s="649"/>
      <c r="L98" s="651" t="s">
        <v>2140</v>
      </c>
      <c r="M98" s="651"/>
      <c r="N98" s="651"/>
      <c r="O98" s="651" t="s">
        <v>1770</v>
      </c>
      <c r="P98" s="651" t="s">
        <v>1101</v>
      </c>
      <c r="Q98" s="651" t="s">
        <v>805</v>
      </c>
      <c r="R98" s="651"/>
      <c r="S98" s="651"/>
    </row>
    <row r="99" spans="1:19">
      <c r="A99" s="649" t="s">
        <v>163</v>
      </c>
      <c r="B99" s="649" t="s">
        <v>2156</v>
      </c>
      <c r="C99" s="652">
        <v>0</v>
      </c>
      <c r="D99" s="650">
        <v>0</v>
      </c>
      <c r="E99" s="650">
        <v>0</v>
      </c>
      <c r="F99" s="649">
        <v>0</v>
      </c>
      <c r="G99" s="649">
        <v>0</v>
      </c>
      <c r="H99" s="649">
        <v>0</v>
      </c>
      <c r="I99" s="649" t="s">
        <v>1625</v>
      </c>
      <c r="J99" s="649"/>
      <c r="K99" s="649"/>
      <c r="L99" s="651" t="s">
        <v>2140</v>
      </c>
      <c r="M99" s="651"/>
      <c r="N99" s="651"/>
      <c r="O99" s="651" t="s">
        <v>2180</v>
      </c>
      <c r="P99" s="651" t="s">
        <v>118</v>
      </c>
      <c r="Q99" s="651" t="s">
        <v>805</v>
      </c>
      <c r="R99" s="651"/>
      <c r="S99" s="651"/>
    </row>
    <row r="100" spans="1:19">
      <c r="A100" s="649" t="s">
        <v>164</v>
      </c>
      <c r="B100" s="649" t="s">
        <v>2156</v>
      </c>
      <c r="C100" s="652">
        <v>0</v>
      </c>
      <c r="D100" s="650">
        <v>0</v>
      </c>
      <c r="E100" s="650">
        <v>0</v>
      </c>
      <c r="F100" s="649">
        <v>0</v>
      </c>
      <c r="G100" s="649">
        <v>0</v>
      </c>
      <c r="H100" s="649">
        <v>0</v>
      </c>
      <c r="I100" s="649" t="s">
        <v>1625</v>
      </c>
      <c r="J100" s="649"/>
      <c r="K100" s="649"/>
      <c r="L100" s="651" t="s">
        <v>2140</v>
      </c>
      <c r="M100" s="651"/>
      <c r="N100" s="651"/>
      <c r="O100" s="651" t="s">
        <v>2181</v>
      </c>
      <c r="P100" s="651" t="s">
        <v>792</v>
      </c>
      <c r="Q100" s="651" t="s">
        <v>1074</v>
      </c>
      <c r="R100" s="651" t="s">
        <v>165</v>
      </c>
      <c r="S100" s="651"/>
    </row>
    <row r="101" spans="1:19">
      <c r="A101" s="649" t="s">
        <v>166</v>
      </c>
      <c r="B101" s="649" t="s">
        <v>2156</v>
      </c>
      <c r="C101" s="652">
        <v>0</v>
      </c>
      <c r="D101" s="650">
        <v>0</v>
      </c>
      <c r="E101" s="650">
        <v>0</v>
      </c>
      <c r="F101" s="649">
        <v>0</v>
      </c>
      <c r="G101" s="649">
        <v>0</v>
      </c>
      <c r="H101" s="649">
        <v>0</v>
      </c>
      <c r="I101" s="649" t="s">
        <v>1625</v>
      </c>
      <c r="J101" s="649"/>
      <c r="K101" s="649"/>
      <c r="L101" s="651" t="s">
        <v>2140</v>
      </c>
      <c r="M101" s="651"/>
      <c r="N101" s="651"/>
      <c r="O101" s="651" t="s">
        <v>1827</v>
      </c>
      <c r="P101" s="651" t="s">
        <v>792</v>
      </c>
      <c r="Q101" s="651" t="s">
        <v>1074</v>
      </c>
      <c r="R101" s="651" t="s">
        <v>793</v>
      </c>
      <c r="S101" s="651"/>
    </row>
    <row r="102" spans="1:19">
      <c r="A102" s="649" t="s">
        <v>167</v>
      </c>
      <c r="B102" s="649" t="s">
        <v>2156</v>
      </c>
      <c r="C102" s="652">
        <v>0</v>
      </c>
      <c r="D102" s="650">
        <v>0</v>
      </c>
      <c r="E102" s="650">
        <v>0</v>
      </c>
      <c r="F102" s="649">
        <v>0</v>
      </c>
      <c r="G102" s="649">
        <v>0</v>
      </c>
      <c r="H102" s="649">
        <v>0</v>
      </c>
      <c r="I102" s="649" t="s">
        <v>1625</v>
      </c>
      <c r="J102" s="649"/>
      <c r="K102" s="649"/>
      <c r="L102" s="651" t="s">
        <v>2140</v>
      </c>
      <c r="M102" s="651"/>
      <c r="N102" s="651"/>
      <c r="O102" s="651" t="s">
        <v>2180</v>
      </c>
      <c r="P102" s="651" t="s">
        <v>2486</v>
      </c>
      <c r="Q102" s="651" t="s">
        <v>1074</v>
      </c>
      <c r="R102" s="651" t="s">
        <v>802</v>
      </c>
      <c r="S102" s="651"/>
    </row>
    <row r="103" spans="1:19">
      <c r="A103" s="649" t="s">
        <v>168</v>
      </c>
      <c r="B103" s="649" t="s">
        <v>2156</v>
      </c>
      <c r="C103" s="652">
        <v>0</v>
      </c>
      <c r="D103" s="650">
        <v>0</v>
      </c>
      <c r="E103" s="650">
        <v>0</v>
      </c>
      <c r="F103" s="649">
        <v>0</v>
      </c>
      <c r="G103" s="649">
        <v>0</v>
      </c>
      <c r="H103" s="649">
        <v>0</v>
      </c>
      <c r="I103" s="649" t="s">
        <v>1625</v>
      </c>
      <c r="J103" s="649"/>
      <c r="K103" s="649"/>
      <c r="L103" s="651" t="s">
        <v>2146</v>
      </c>
      <c r="M103" s="651"/>
      <c r="N103" s="651"/>
      <c r="O103" s="651"/>
      <c r="P103" s="651" t="s">
        <v>849</v>
      </c>
      <c r="Q103" s="651" t="s">
        <v>780</v>
      </c>
      <c r="R103" s="651" t="s">
        <v>850</v>
      </c>
      <c r="S103" s="651"/>
    </row>
    <row r="104" spans="1:19">
      <c r="A104" s="649" t="s">
        <v>169</v>
      </c>
      <c r="B104" s="649" t="s">
        <v>2156</v>
      </c>
      <c r="C104" s="652">
        <v>0</v>
      </c>
      <c r="D104" s="650">
        <v>0</v>
      </c>
      <c r="E104" s="650">
        <v>0</v>
      </c>
      <c r="F104" s="649">
        <v>0</v>
      </c>
      <c r="G104" s="649">
        <v>0</v>
      </c>
      <c r="H104" s="649">
        <v>0</v>
      </c>
      <c r="I104" s="649" t="s">
        <v>1625</v>
      </c>
      <c r="J104" s="649"/>
      <c r="K104" s="649"/>
      <c r="L104" s="651" t="s">
        <v>2146</v>
      </c>
      <c r="M104" s="651"/>
      <c r="N104" s="651"/>
      <c r="O104" s="651"/>
      <c r="P104" s="651" t="s">
        <v>141</v>
      </c>
      <c r="Q104" s="651" t="s">
        <v>780</v>
      </c>
      <c r="R104" s="651" t="s">
        <v>142</v>
      </c>
      <c r="S104" s="651"/>
    </row>
    <row r="105" spans="1:19">
      <c r="A105" s="649" t="s">
        <v>170</v>
      </c>
      <c r="B105" s="649" t="s">
        <v>2156</v>
      </c>
      <c r="C105" s="652">
        <v>1479</v>
      </c>
      <c r="D105" s="650">
        <v>1500</v>
      </c>
      <c r="E105" s="650">
        <v>0</v>
      </c>
      <c r="F105" s="649">
        <v>0</v>
      </c>
      <c r="G105" s="649">
        <v>21</v>
      </c>
      <c r="H105" s="649">
        <v>1</v>
      </c>
      <c r="I105" s="649" t="s">
        <v>1625</v>
      </c>
      <c r="J105" s="649"/>
      <c r="K105" s="649"/>
      <c r="L105" s="651" t="s">
        <v>2146</v>
      </c>
      <c r="M105" s="651"/>
      <c r="N105" s="651"/>
      <c r="O105" s="651"/>
      <c r="P105" s="651" t="s">
        <v>874</v>
      </c>
      <c r="Q105" s="651" t="s">
        <v>871</v>
      </c>
      <c r="R105" s="651" t="s">
        <v>1074</v>
      </c>
      <c r="S105" s="651"/>
    </row>
    <row r="106" spans="1:19">
      <c r="A106" s="649" t="s">
        <v>171</v>
      </c>
      <c r="B106" s="649" t="s">
        <v>2156</v>
      </c>
      <c r="C106" s="652">
        <v>0</v>
      </c>
      <c r="D106" s="650">
        <v>0</v>
      </c>
      <c r="E106" s="650">
        <v>0</v>
      </c>
      <c r="F106" s="649">
        <v>0</v>
      </c>
      <c r="G106" s="649">
        <v>0</v>
      </c>
      <c r="H106" s="649">
        <v>0</v>
      </c>
      <c r="I106" s="649" t="s">
        <v>1625</v>
      </c>
      <c r="J106" s="649"/>
      <c r="K106" s="649"/>
      <c r="L106" s="651" t="s">
        <v>2146</v>
      </c>
      <c r="M106" s="651"/>
      <c r="N106" s="651"/>
      <c r="O106" s="651"/>
      <c r="P106" s="651" t="s">
        <v>878</v>
      </c>
      <c r="Q106" s="651" t="s">
        <v>780</v>
      </c>
      <c r="R106" s="651" t="s">
        <v>879</v>
      </c>
      <c r="S106" s="651"/>
    </row>
    <row r="107" spans="1:19">
      <c r="A107" s="649" t="s">
        <v>172</v>
      </c>
      <c r="B107" s="649" t="s">
        <v>2156</v>
      </c>
      <c r="C107" s="652">
        <v>0</v>
      </c>
      <c r="D107" s="650">
        <v>0</v>
      </c>
      <c r="E107" s="650">
        <v>0</v>
      </c>
      <c r="F107" s="649">
        <v>0</v>
      </c>
      <c r="G107" s="649">
        <v>0</v>
      </c>
      <c r="H107" s="649">
        <v>0</v>
      </c>
      <c r="I107" s="649" t="s">
        <v>1625</v>
      </c>
      <c r="J107" s="649"/>
      <c r="K107" s="649"/>
      <c r="L107" s="651" t="s">
        <v>2146</v>
      </c>
      <c r="M107" s="651"/>
      <c r="N107" s="651"/>
      <c r="O107" s="651"/>
      <c r="P107" s="651" t="s">
        <v>881</v>
      </c>
      <c r="Q107" s="651" t="s">
        <v>780</v>
      </c>
      <c r="R107" s="651" t="s">
        <v>882</v>
      </c>
      <c r="S107" s="651"/>
    </row>
    <row r="108" spans="1:19">
      <c r="A108" s="649" t="s">
        <v>173</v>
      </c>
      <c r="B108" s="649" t="s">
        <v>2156</v>
      </c>
      <c r="C108" s="652">
        <v>2324.46</v>
      </c>
      <c r="D108" s="650">
        <v>2500</v>
      </c>
      <c r="E108" s="650">
        <v>0</v>
      </c>
      <c r="F108" s="649">
        <v>0</v>
      </c>
      <c r="G108" s="649">
        <v>175.54</v>
      </c>
      <c r="H108" s="649">
        <v>7</v>
      </c>
      <c r="I108" s="649" t="s">
        <v>1625</v>
      </c>
      <c r="J108" s="649"/>
      <c r="K108" s="649"/>
      <c r="L108" s="651" t="s">
        <v>2146</v>
      </c>
      <c r="M108" s="651"/>
      <c r="N108" s="651"/>
      <c r="O108" s="651"/>
      <c r="P108" s="651" t="s">
        <v>63</v>
      </c>
      <c r="Q108" s="651" t="s">
        <v>780</v>
      </c>
      <c r="R108" s="651" t="s">
        <v>64</v>
      </c>
      <c r="S108" s="651"/>
    </row>
    <row r="109" spans="1:19">
      <c r="A109" s="649" t="s">
        <v>174</v>
      </c>
      <c r="B109" s="649" t="s">
        <v>2156</v>
      </c>
      <c r="C109" s="652">
        <v>0</v>
      </c>
      <c r="D109" s="650">
        <v>0</v>
      </c>
      <c r="E109" s="650">
        <v>0</v>
      </c>
      <c r="F109" s="649">
        <v>0</v>
      </c>
      <c r="G109" s="649">
        <v>0</v>
      </c>
      <c r="H109" s="649">
        <v>0</v>
      </c>
      <c r="I109" s="649" t="s">
        <v>1625</v>
      </c>
      <c r="J109" s="649"/>
      <c r="K109" s="649"/>
      <c r="L109" s="651" t="s">
        <v>2146</v>
      </c>
      <c r="M109" s="651"/>
      <c r="N109" s="651"/>
      <c r="O109" s="651"/>
      <c r="P109" s="651" t="s">
        <v>66</v>
      </c>
      <c r="Q109" s="651" t="s">
        <v>1074</v>
      </c>
      <c r="R109" s="651" t="s">
        <v>67</v>
      </c>
      <c r="S109" s="651"/>
    </row>
    <row r="110" spans="1:19">
      <c r="A110" s="649" t="s">
        <v>175</v>
      </c>
      <c r="B110" s="649" t="s">
        <v>2156</v>
      </c>
      <c r="C110" s="652">
        <v>0</v>
      </c>
      <c r="D110" s="650">
        <v>0</v>
      </c>
      <c r="E110" s="650">
        <v>0</v>
      </c>
      <c r="F110" s="649">
        <v>0</v>
      </c>
      <c r="G110" s="649">
        <v>0</v>
      </c>
      <c r="H110" s="649">
        <v>0</v>
      </c>
      <c r="I110" s="649" t="s">
        <v>1625</v>
      </c>
      <c r="J110" s="649">
        <f>SUM(C96:C110)</f>
        <v>3803.46</v>
      </c>
      <c r="K110" s="649"/>
      <c r="L110" s="651" t="s">
        <v>2146</v>
      </c>
      <c r="M110" s="651"/>
      <c r="N110" s="651"/>
      <c r="O110" s="651"/>
      <c r="P110" s="651" t="s">
        <v>66</v>
      </c>
      <c r="Q110" s="651" t="s">
        <v>1074</v>
      </c>
      <c r="R110" s="651" t="s">
        <v>69</v>
      </c>
      <c r="S110" s="651"/>
    </row>
    <row r="111" spans="1:19">
      <c r="A111" s="649" t="s">
        <v>177</v>
      </c>
      <c r="B111" s="649" t="s">
        <v>2157</v>
      </c>
      <c r="C111" s="652">
        <v>0</v>
      </c>
      <c r="D111" s="650">
        <v>0</v>
      </c>
      <c r="E111" s="650">
        <v>0</v>
      </c>
      <c r="F111" s="649">
        <v>0</v>
      </c>
      <c r="G111" s="649">
        <v>0</v>
      </c>
      <c r="H111" s="649">
        <v>0</v>
      </c>
      <c r="I111" s="649" t="s">
        <v>773</v>
      </c>
      <c r="J111" s="649"/>
      <c r="K111" s="649"/>
      <c r="L111" s="651"/>
      <c r="M111" s="651"/>
      <c r="N111" s="651"/>
      <c r="O111" s="651"/>
      <c r="P111" s="651" t="s">
        <v>769</v>
      </c>
      <c r="Q111" s="651" t="s">
        <v>689</v>
      </c>
      <c r="R111" s="651"/>
      <c r="S111" s="651"/>
    </row>
    <row r="112" spans="1:19">
      <c r="A112" s="649" t="s">
        <v>178</v>
      </c>
      <c r="B112" s="649" t="s">
        <v>2157</v>
      </c>
      <c r="C112" s="652">
        <v>0</v>
      </c>
      <c r="D112" s="650">
        <v>49000</v>
      </c>
      <c r="E112" s="650">
        <v>0</v>
      </c>
      <c r="F112" s="649">
        <v>0</v>
      </c>
      <c r="G112" s="649">
        <v>49000</v>
      </c>
      <c r="H112" s="649">
        <v>100</v>
      </c>
      <c r="I112" s="649" t="s">
        <v>1625</v>
      </c>
      <c r="J112" s="649"/>
      <c r="K112" s="649"/>
      <c r="L112" s="651" t="s">
        <v>2140</v>
      </c>
      <c r="M112" s="651"/>
      <c r="N112" s="651"/>
      <c r="O112" s="651" t="s">
        <v>2180</v>
      </c>
      <c r="P112" s="651" t="s">
        <v>103</v>
      </c>
      <c r="Q112" s="651" t="s">
        <v>104</v>
      </c>
      <c r="R112" s="651" t="s">
        <v>1074</v>
      </c>
      <c r="S112" s="651" t="s">
        <v>105</v>
      </c>
    </row>
    <row r="113" spans="1:19">
      <c r="A113" s="649" t="s">
        <v>179</v>
      </c>
      <c r="B113" s="649" t="s">
        <v>2157</v>
      </c>
      <c r="C113" s="652">
        <v>0</v>
      </c>
      <c r="D113" s="650">
        <v>0</v>
      </c>
      <c r="E113" s="650">
        <v>0</v>
      </c>
      <c r="F113" s="649">
        <v>0</v>
      </c>
      <c r="G113" s="649">
        <v>0</v>
      </c>
      <c r="H113" s="649">
        <v>0</v>
      </c>
      <c r="I113" s="649" t="s">
        <v>1625</v>
      </c>
      <c r="J113" s="649"/>
      <c r="K113" s="649"/>
      <c r="L113" s="651" t="s">
        <v>2140</v>
      </c>
      <c r="M113" s="651"/>
      <c r="N113" s="651"/>
      <c r="O113" s="651" t="s">
        <v>2180</v>
      </c>
      <c r="P113" s="651" t="s">
        <v>77</v>
      </c>
      <c r="Q113" s="651" t="s">
        <v>110</v>
      </c>
      <c r="R113" s="651" t="s">
        <v>1074</v>
      </c>
      <c r="S113" s="651" t="s">
        <v>111</v>
      </c>
    </row>
    <row r="114" spans="1:19">
      <c r="A114" s="649" t="s">
        <v>180</v>
      </c>
      <c r="B114" s="649" t="s">
        <v>2157</v>
      </c>
      <c r="C114" s="652">
        <v>0</v>
      </c>
      <c r="D114" s="650">
        <v>18000</v>
      </c>
      <c r="E114" s="650">
        <v>0</v>
      </c>
      <c r="F114" s="649">
        <v>0</v>
      </c>
      <c r="G114" s="649">
        <v>18000</v>
      </c>
      <c r="H114" s="649">
        <v>100</v>
      </c>
      <c r="I114" s="649" t="s">
        <v>1625</v>
      </c>
      <c r="J114" s="649"/>
      <c r="K114" s="649"/>
      <c r="L114" s="651" t="s">
        <v>2140</v>
      </c>
      <c r="M114" s="651"/>
      <c r="N114" s="651"/>
      <c r="O114" s="651" t="s">
        <v>2180</v>
      </c>
      <c r="P114" s="651" t="s">
        <v>118</v>
      </c>
      <c r="Q114" s="651" t="s">
        <v>805</v>
      </c>
      <c r="R114" s="651"/>
      <c r="S114" s="651"/>
    </row>
    <row r="115" spans="1:19">
      <c r="A115" s="649" t="s">
        <v>181</v>
      </c>
      <c r="B115" s="649" t="s">
        <v>2157</v>
      </c>
      <c r="C115" s="652">
        <v>0</v>
      </c>
      <c r="D115" s="650">
        <v>7000</v>
      </c>
      <c r="E115" s="650">
        <v>0</v>
      </c>
      <c r="F115" s="649">
        <v>0</v>
      </c>
      <c r="G115" s="649">
        <v>7000</v>
      </c>
      <c r="H115" s="649">
        <v>100</v>
      </c>
      <c r="I115" s="649" t="s">
        <v>1625</v>
      </c>
      <c r="J115" s="649"/>
      <c r="K115" s="649"/>
      <c r="L115" s="651" t="s">
        <v>2146</v>
      </c>
      <c r="M115" s="651"/>
      <c r="N115" s="651"/>
      <c r="O115" s="651"/>
      <c r="P115" s="651" t="s">
        <v>849</v>
      </c>
      <c r="Q115" s="651" t="s">
        <v>780</v>
      </c>
      <c r="R115" s="651" t="s">
        <v>850</v>
      </c>
      <c r="S115" s="651"/>
    </row>
    <row r="116" spans="1:19">
      <c r="A116" s="649" t="s">
        <v>2263</v>
      </c>
      <c r="B116" s="649" t="s">
        <v>2157</v>
      </c>
      <c r="C116" s="652">
        <v>0</v>
      </c>
      <c r="D116" s="650">
        <v>0</v>
      </c>
      <c r="E116" s="650">
        <v>0</v>
      </c>
      <c r="F116" s="649">
        <v>0</v>
      </c>
      <c r="G116" s="649">
        <v>0</v>
      </c>
      <c r="H116" s="649">
        <v>0</v>
      </c>
      <c r="I116" s="649" t="s">
        <v>1625</v>
      </c>
      <c r="J116" s="649"/>
      <c r="K116" s="649"/>
      <c r="L116" s="651" t="s">
        <v>2146</v>
      </c>
      <c r="M116" s="651"/>
      <c r="N116" s="651"/>
      <c r="O116" s="651"/>
      <c r="P116" s="651" t="s">
        <v>141</v>
      </c>
      <c r="Q116" s="651" t="s">
        <v>780</v>
      </c>
      <c r="R116" s="651" t="s">
        <v>142</v>
      </c>
      <c r="S116" s="651"/>
    </row>
    <row r="117" spans="1:19">
      <c r="A117" s="649" t="s">
        <v>2264</v>
      </c>
      <c r="B117" s="649" t="s">
        <v>2157</v>
      </c>
      <c r="C117" s="652">
        <v>1578.45</v>
      </c>
      <c r="D117" s="650">
        <v>1600</v>
      </c>
      <c r="E117" s="650">
        <v>0</v>
      </c>
      <c r="F117" s="649">
        <v>0</v>
      </c>
      <c r="G117" s="649">
        <v>21.55</v>
      </c>
      <c r="H117" s="649">
        <v>1</v>
      </c>
      <c r="I117" s="649" t="s">
        <v>1625</v>
      </c>
      <c r="J117" s="649"/>
      <c r="K117" s="649"/>
      <c r="L117" s="651" t="s">
        <v>2146</v>
      </c>
      <c r="M117" s="651"/>
      <c r="N117" s="651"/>
      <c r="O117" s="651"/>
      <c r="P117" s="651" t="s">
        <v>856</v>
      </c>
      <c r="Q117" s="651" t="s">
        <v>857</v>
      </c>
      <c r="R117" s="651"/>
      <c r="S117" s="651"/>
    </row>
    <row r="118" spans="1:19">
      <c r="A118" s="649" t="s">
        <v>2265</v>
      </c>
      <c r="B118" s="649" t="s">
        <v>2157</v>
      </c>
      <c r="C118" s="652">
        <v>0</v>
      </c>
      <c r="D118" s="650">
        <v>0</v>
      </c>
      <c r="E118" s="650">
        <v>0</v>
      </c>
      <c r="F118" s="649">
        <v>0</v>
      </c>
      <c r="G118" s="649">
        <v>0</v>
      </c>
      <c r="H118" s="649">
        <v>0</v>
      </c>
      <c r="I118" s="649" t="s">
        <v>1625</v>
      </c>
      <c r="J118" s="649"/>
      <c r="K118" s="649"/>
      <c r="L118" s="651" t="s">
        <v>2146</v>
      </c>
      <c r="M118" s="651"/>
      <c r="N118" s="651"/>
      <c r="O118" s="651"/>
      <c r="P118" s="651" t="s">
        <v>878</v>
      </c>
      <c r="Q118" s="651" t="s">
        <v>780</v>
      </c>
      <c r="R118" s="651" t="s">
        <v>879</v>
      </c>
      <c r="S118" s="651"/>
    </row>
    <row r="119" spans="1:19">
      <c r="A119" s="649" t="s">
        <v>2266</v>
      </c>
      <c r="B119" s="649" t="s">
        <v>2157</v>
      </c>
      <c r="C119" s="652">
        <v>0</v>
      </c>
      <c r="D119" s="650">
        <v>3400</v>
      </c>
      <c r="E119" s="650">
        <v>0</v>
      </c>
      <c r="F119" s="649">
        <v>0</v>
      </c>
      <c r="G119" s="649">
        <v>3400</v>
      </c>
      <c r="H119" s="649">
        <v>100</v>
      </c>
      <c r="I119" s="649" t="s">
        <v>1625</v>
      </c>
      <c r="J119" s="649"/>
      <c r="K119" s="649"/>
      <c r="L119" s="651" t="s">
        <v>2146</v>
      </c>
      <c r="M119" s="651"/>
      <c r="N119" s="651"/>
      <c r="O119" s="651"/>
      <c r="P119" s="651" t="s">
        <v>881</v>
      </c>
      <c r="Q119" s="651" t="s">
        <v>780</v>
      </c>
      <c r="R119" s="651" t="s">
        <v>882</v>
      </c>
      <c r="S119" s="651"/>
    </row>
    <row r="120" spans="1:19">
      <c r="A120" s="649" t="s">
        <v>2267</v>
      </c>
      <c r="B120" s="649" t="s">
        <v>2157</v>
      </c>
      <c r="C120" s="652">
        <v>0</v>
      </c>
      <c r="D120" s="650">
        <v>5000</v>
      </c>
      <c r="E120" s="650">
        <v>0</v>
      </c>
      <c r="F120" s="649">
        <v>0</v>
      </c>
      <c r="G120" s="649">
        <v>5000</v>
      </c>
      <c r="H120" s="649">
        <v>100</v>
      </c>
      <c r="I120" s="649" t="s">
        <v>1625</v>
      </c>
      <c r="J120" s="649"/>
      <c r="K120" s="649"/>
      <c r="L120" s="651" t="s">
        <v>2146</v>
      </c>
      <c r="M120" s="651"/>
      <c r="N120" s="651"/>
      <c r="O120" s="651"/>
      <c r="P120" s="651" t="s">
        <v>63</v>
      </c>
      <c r="Q120" s="651" t="s">
        <v>780</v>
      </c>
      <c r="R120" s="651" t="s">
        <v>64</v>
      </c>
      <c r="S120" s="651"/>
    </row>
    <row r="121" spans="1:19">
      <c r="A121" s="649" t="s">
        <v>2268</v>
      </c>
      <c r="B121" s="649" t="s">
        <v>2157</v>
      </c>
      <c r="C121" s="652">
        <v>0</v>
      </c>
      <c r="D121" s="650">
        <v>1500</v>
      </c>
      <c r="E121" s="650">
        <v>0</v>
      </c>
      <c r="F121" s="649">
        <v>0</v>
      </c>
      <c r="G121" s="649">
        <v>1500</v>
      </c>
      <c r="H121" s="649">
        <v>100</v>
      </c>
      <c r="I121" s="649" t="s">
        <v>1625</v>
      </c>
      <c r="J121" s="649"/>
      <c r="K121" s="649"/>
      <c r="L121" s="651" t="s">
        <v>2146</v>
      </c>
      <c r="M121" s="651"/>
      <c r="N121" s="651"/>
      <c r="O121" s="651"/>
      <c r="P121" s="651" t="s">
        <v>66</v>
      </c>
      <c r="Q121" s="651" t="s">
        <v>1074</v>
      </c>
      <c r="R121" s="651" t="s">
        <v>67</v>
      </c>
      <c r="S121" s="651"/>
    </row>
    <row r="122" spans="1:19">
      <c r="A122" s="649" t="s">
        <v>2269</v>
      </c>
      <c r="B122" s="649" t="s">
        <v>2157</v>
      </c>
      <c r="C122" s="652">
        <v>0</v>
      </c>
      <c r="D122" s="650">
        <v>3000</v>
      </c>
      <c r="E122" s="650">
        <v>0</v>
      </c>
      <c r="F122" s="649">
        <v>0</v>
      </c>
      <c r="G122" s="649">
        <v>3000</v>
      </c>
      <c r="H122" s="649">
        <v>100</v>
      </c>
      <c r="I122" s="649" t="s">
        <v>1625</v>
      </c>
      <c r="J122" s="649"/>
      <c r="K122" s="649"/>
      <c r="L122" s="651" t="s">
        <v>2146</v>
      </c>
      <c r="M122" s="651"/>
      <c r="N122" s="651"/>
      <c r="O122" s="651"/>
      <c r="P122" s="651" t="s">
        <v>66</v>
      </c>
      <c r="Q122" s="651" t="s">
        <v>1074</v>
      </c>
      <c r="R122" s="651" t="s">
        <v>69</v>
      </c>
      <c r="S122" s="651"/>
    </row>
    <row r="123" spans="1:19">
      <c r="A123" s="649" t="s">
        <v>2271</v>
      </c>
      <c r="B123" s="649" t="s">
        <v>2158</v>
      </c>
      <c r="C123" s="652">
        <v>0</v>
      </c>
      <c r="D123" s="650">
        <v>0</v>
      </c>
      <c r="E123" s="650">
        <v>0</v>
      </c>
      <c r="F123" s="649">
        <v>0</v>
      </c>
      <c r="G123" s="649">
        <v>0</v>
      </c>
      <c r="H123" s="649">
        <v>0</v>
      </c>
      <c r="I123" s="649" t="s">
        <v>773</v>
      </c>
      <c r="J123" s="649">
        <f>SUM(C112:C122)</f>
        <v>1578.45</v>
      </c>
      <c r="K123" s="649"/>
      <c r="L123" s="651"/>
      <c r="M123" s="651"/>
      <c r="N123" s="651"/>
      <c r="O123" s="651"/>
      <c r="P123" s="651" t="s">
        <v>769</v>
      </c>
      <c r="Q123" s="651" t="s">
        <v>689</v>
      </c>
      <c r="R123" s="651"/>
      <c r="S123" s="651"/>
    </row>
    <row r="124" spans="1:19">
      <c r="A124" s="649" t="s">
        <v>2272</v>
      </c>
      <c r="B124" s="649" t="s">
        <v>2158</v>
      </c>
      <c r="C124" s="652">
        <v>-567000</v>
      </c>
      <c r="D124" s="650">
        <v>0</v>
      </c>
      <c r="E124" s="650">
        <v>-567000</v>
      </c>
      <c r="F124" s="649">
        <v>0</v>
      </c>
      <c r="G124" s="649">
        <v>567000</v>
      </c>
      <c r="H124" s="649">
        <v>9999</v>
      </c>
      <c r="I124" s="649" t="s">
        <v>773</v>
      </c>
      <c r="J124" s="649"/>
      <c r="K124" s="649">
        <f>+C124</f>
        <v>-567000</v>
      </c>
      <c r="L124" s="651" t="s">
        <v>39</v>
      </c>
      <c r="M124" s="651"/>
      <c r="N124" s="651"/>
      <c r="O124" s="651"/>
      <c r="P124" s="651" t="s">
        <v>779</v>
      </c>
      <c r="Q124" s="651" t="s">
        <v>1074</v>
      </c>
      <c r="R124" s="651" t="s">
        <v>2273</v>
      </c>
      <c r="S124" s="651"/>
    </row>
    <row r="125" spans="1:19">
      <c r="A125" s="649" t="s">
        <v>2274</v>
      </c>
      <c r="B125" s="649" t="s">
        <v>2158</v>
      </c>
      <c r="C125" s="652">
        <v>0</v>
      </c>
      <c r="D125" s="650">
        <v>0</v>
      </c>
      <c r="E125" s="650">
        <v>0</v>
      </c>
      <c r="F125" s="649">
        <v>0</v>
      </c>
      <c r="G125" s="649">
        <v>0</v>
      </c>
      <c r="H125" s="649">
        <v>0</v>
      </c>
      <c r="I125" s="649" t="s">
        <v>1625</v>
      </c>
      <c r="J125" s="649"/>
      <c r="K125" s="649"/>
      <c r="L125" s="651" t="s">
        <v>2146</v>
      </c>
      <c r="M125" s="651"/>
      <c r="N125" s="651"/>
      <c r="O125" s="651"/>
      <c r="P125" s="651" t="s">
        <v>819</v>
      </c>
      <c r="Q125" s="651" t="s">
        <v>132</v>
      </c>
      <c r="R125" s="651" t="s">
        <v>133</v>
      </c>
      <c r="S125" s="651"/>
    </row>
    <row r="126" spans="1:19">
      <c r="A126" s="649" t="s">
        <v>2275</v>
      </c>
      <c r="B126" s="649" t="s">
        <v>2158</v>
      </c>
      <c r="C126" s="652">
        <v>20641.55</v>
      </c>
      <c r="D126" s="650">
        <v>21000</v>
      </c>
      <c r="E126" s="650">
        <v>14883.55</v>
      </c>
      <c r="F126" s="649">
        <v>0</v>
      </c>
      <c r="G126" s="649">
        <v>358.45</v>
      </c>
      <c r="H126" s="649">
        <v>2</v>
      </c>
      <c r="I126" s="649" t="s">
        <v>1625</v>
      </c>
      <c r="J126" s="649"/>
      <c r="K126" s="649"/>
      <c r="L126" s="651" t="s">
        <v>2146</v>
      </c>
      <c r="M126" s="651"/>
      <c r="N126" s="651"/>
      <c r="O126" s="651"/>
      <c r="P126" s="651" t="s">
        <v>846</v>
      </c>
      <c r="Q126" s="651" t="s">
        <v>1074</v>
      </c>
      <c r="R126" s="651" t="s">
        <v>847</v>
      </c>
      <c r="S126" s="651"/>
    </row>
    <row r="127" spans="1:19">
      <c r="A127" s="649" t="s">
        <v>2276</v>
      </c>
      <c r="B127" s="649" t="s">
        <v>2158</v>
      </c>
      <c r="C127" s="652">
        <v>13114.75</v>
      </c>
      <c r="D127" s="650">
        <v>13450</v>
      </c>
      <c r="E127" s="650">
        <v>12800.75</v>
      </c>
      <c r="F127" s="649">
        <v>0</v>
      </c>
      <c r="G127" s="649">
        <v>335.25</v>
      </c>
      <c r="H127" s="649">
        <v>2</v>
      </c>
      <c r="I127" s="649" t="s">
        <v>1625</v>
      </c>
      <c r="J127" s="649"/>
      <c r="K127" s="649"/>
      <c r="L127" s="651" t="s">
        <v>2146</v>
      </c>
      <c r="M127" s="651"/>
      <c r="N127" s="651"/>
      <c r="O127" s="651"/>
      <c r="P127" s="651" t="s">
        <v>849</v>
      </c>
      <c r="Q127" s="651" t="s">
        <v>780</v>
      </c>
      <c r="R127" s="651" t="s">
        <v>850</v>
      </c>
      <c r="S127" s="651"/>
    </row>
    <row r="128" spans="1:19">
      <c r="A128" s="649" t="s">
        <v>2277</v>
      </c>
      <c r="B128" s="649" t="s">
        <v>2158</v>
      </c>
      <c r="C128" s="652">
        <v>564550.34</v>
      </c>
      <c r="D128" s="650">
        <v>565000</v>
      </c>
      <c r="E128" s="650">
        <v>53789.37</v>
      </c>
      <c r="F128" s="649">
        <v>0</v>
      </c>
      <c r="G128" s="649">
        <v>449.66</v>
      </c>
      <c r="H128" s="649">
        <v>0</v>
      </c>
      <c r="I128" s="649" t="s">
        <v>1625</v>
      </c>
      <c r="J128" s="649"/>
      <c r="K128" s="649"/>
      <c r="L128" s="651" t="s">
        <v>2146</v>
      </c>
      <c r="M128" s="651"/>
      <c r="N128" s="651"/>
      <c r="O128" s="651"/>
      <c r="P128" s="651" t="s">
        <v>141</v>
      </c>
      <c r="Q128" s="651" t="s">
        <v>780</v>
      </c>
      <c r="R128" s="651" t="s">
        <v>142</v>
      </c>
      <c r="S128" s="651"/>
    </row>
    <row r="129" spans="1:19">
      <c r="A129" s="649" t="s">
        <v>2278</v>
      </c>
      <c r="B129" s="649" t="s">
        <v>2158</v>
      </c>
      <c r="C129" s="652">
        <v>321736.34999999998</v>
      </c>
      <c r="D129" s="650">
        <v>322000</v>
      </c>
      <c r="E129" s="650">
        <v>122909.57</v>
      </c>
      <c r="F129" s="649">
        <v>0</v>
      </c>
      <c r="G129" s="649">
        <v>263.64999999999998</v>
      </c>
      <c r="H129" s="649">
        <v>0</v>
      </c>
      <c r="I129" s="649" t="s">
        <v>1625</v>
      </c>
      <c r="J129" s="649"/>
      <c r="K129" s="649"/>
      <c r="L129" s="651" t="s">
        <v>2146</v>
      </c>
      <c r="M129" s="651"/>
      <c r="N129" s="651"/>
      <c r="O129" s="651"/>
      <c r="P129" s="651" t="s">
        <v>2270</v>
      </c>
      <c r="Q129" s="651" t="s">
        <v>871</v>
      </c>
      <c r="R129" s="651" t="s">
        <v>1074</v>
      </c>
      <c r="S129" s="651" t="s">
        <v>713</v>
      </c>
    </row>
    <row r="130" spans="1:19">
      <c r="A130" s="649" t="s">
        <v>2279</v>
      </c>
      <c r="B130" s="649" t="s">
        <v>2158</v>
      </c>
      <c r="C130" s="652">
        <v>0</v>
      </c>
      <c r="D130" s="650">
        <v>0</v>
      </c>
      <c r="E130" s="650">
        <v>-2808.09</v>
      </c>
      <c r="F130" s="649">
        <v>0</v>
      </c>
      <c r="G130" s="649">
        <v>2808.09</v>
      </c>
      <c r="H130" s="649">
        <v>9999</v>
      </c>
      <c r="I130" s="649" t="s">
        <v>1625</v>
      </c>
      <c r="J130" s="649"/>
      <c r="K130" s="649"/>
      <c r="L130" s="651" t="s">
        <v>26</v>
      </c>
      <c r="M130" s="651"/>
      <c r="N130" s="651"/>
      <c r="O130" s="651"/>
      <c r="P130" s="651" t="s">
        <v>2280</v>
      </c>
      <c r="Q130" s="651" t="s">
        <v>777</v>
      </c>
      <c r="R130" s="651"/>
      <c r="S130" s="651"/>
    </row>
    <row r="131" spans="1:19">
      <c r="A131" s="649" t="s">
        <v>2281</v>
      </c>
      <c r="B131" s="649" t="s">
        <v>2158</v>
      </c>
      <c r="C131" s="652">
        <v>246.51</v>
      </c>
      <c r="D131" s="650">
        <v>286</v>
      </c>
      <c r="E131" s="650">
        <v>4.43</v>
      </c>
      <c r="F131" s="649">
        <v>0</v>
      </c>
      <c r="G131" s="649">
        <v>39.49</v>
      </c>
      <c r="H131" s="649">
        <v>14</v>
      </c>
      <c r="I131" s="649" t="s">
        <v>1625</v>
      </c>
      <c r="J131" s="649"/>
      <c r="K131" s="649"/>
      <c r="L131" s="651" t="s">
        <v>2146</v>
      </c>
      <c r="M131" s="651"/>
      <c r="N131" s="651"/>
      <c r="O131" s="651"/>
      <c r="P131" s="651" t="s">
        <v>878</v>
      </c>
      <c r="Q131" s="651" t="s">
        <v>780</v>
      </c>
      <c r="R131" s="651" t="s">
        <v>879</v>
      </c>
      <c r="S131" s="651"/>
    </row>
    <row r="132" spans="1:19">
      <c r="A132" s="649" t="s">
        <v>2282</v>
      </c>
      <c r="B132" s="649" t="s">
        <v>2158</v>
      </c>
      <c r="C132" s="652">
        <v>23759.62</v>
      </c>
      <c r="D132" s="650">
        <v>24000</v>
      </c>
      <c r="E132" s="650">
        <v>862.99</v>
      </c>
      <c r="F132" s="649">
        <v>0</v>
      </c>
      <c r="G132" s="649">
        <v>240.38</v>
      </c>
      <c r="H132" s="649">
        <v>1</v>
      </c>
      <c r="I132" s="649" t="s">
        <v>1625</v>
      </c>
      <c r="J132" s="649"/>
      <c r="K132" s="649"/>
      <c r="L132" s="651" t="s">
        <v>2146</v>
      </c>
      <c r="M132" s="651"/>
      <c r="N132" s="651"/>
      <c r="O132" s="651"/>
      <c r="P132" s="651" t="s">
        <v>881</v>
      </c>
      <c r="Q132" s="651" t="s">
        <v>780</v>
      </c>
      <c r="R132" s="651" t="s">
        <v>882</v>
      </c>
      <c r="S132" s="651"/>
    </row>
    <row r="133" spans="1:19">
      <c r="A133" s="649" t="s">
        <v>2283</v>
      </c>
      <c r="B133" s="649" t="s">
        <v>2158</v>
      </c>
      <c r="C133" s="652">
        <v>55362.3</v>
      </c>
      <c r="D133" s="650">
        <v>56000</v>
      </c>
      <c r="E133" s="650">
        <v>7469.16</v>
      </c>
      <c r="F133" s="649">
        <v>0</v>
      </c>
      <c r="G133" s="649">
        <v>637.70000000000005</v>
      </c>
      <c r="H133" s="649">
        <v>1</v>
      </c>
      <c r="I133" s="649" t="s">
        <v>1625</v>
      </c>
      <c r="J133" s="649"/>
      <c r="K133" s="649"/>
      <c r="L133" s="651" t="s">
        <v>2146</v>
      </c>
      <c r="M133" s="651"/>
      <c r="N133" s="651"/>
      <c r="O133" s="651"/>
      <c r="P133" s="651" t="s">
        <v>63</v>
      </c>
      <c r="Q133" s="651" t="s">
        <v>780</v>
      </c>
      <c r="R133" s="651" t="s">
        <v>64</v>
      </c>
      <c r="S133" s="651"/>
    </row>
    <row r="134" spans="1:19">
      <c r="A134" s="649" t="s">
        <v>2284</v>
      </c>
      <c r="B134" s="649" t="s">
        <v>2158</v>
      </c>
      <c r="C134" s="652">
        <v>0</v>
      </c>
      <c r="D134" s="650">
        <v>2000</v>
      </c>
      <c r="E134" s="650">
        <v>0</v>
      </c>
      <c r="F134" s="649">
        <v>0</v>
      </c>
      <c r="G134" s="649">
        <v>2000</v>
      </c>
      <c r="H134" s="649">
        <v>100</v>
      </c>
      <c r="I134" s="649" t="s">
        <v>1625</v>
      </c>
      <c r="J134" s="649"/>
      <c r="K134" s="649"/>
      <c r="L134" s="651" t="s">
        <v>2146</v>
      </c>
      <c r="M134" s="651"/>
      <c r="N134" s="651"/>
      <c r="O134" s="651"/>
      <c r="P134" s="651" t="s">
        <v>66</v>
      </c>
      <c r="Q134" s="651" t="s">
        <v>1074</v>
      </c>
      <c r="R134" s="651" t="s">
        <v>67</v>
      </c>
      <c r="S134" s="651"/>
    </row>
    <row r="135" spans="1:19">
      <c r="A135" s="649" t="s">
        <v>2285</v>
      </c>
      <c r="B135" s="649" t="s">
        <v>2158</v>
      </c>
      <c r="C135" s="652">
        <v>6945.36</v>
      </c>
      <c r="D135" s="650">
        <v>7000</v>
      </c>
      <c r="E135" s="650">
        <v>1195.01</v>
      </c>
      <c r="F135" s="649">
        <v>0</v>
      </c>
      <c r="G135" s="649">
        <v>54.64</v>
      </c>
      <c r="H135" s="649">
        <v>1</v>
      </c>
      <c r="I135" s="649" t="s">
        <v>1625</v>
      </c>
      <c r="J135" s="649">
        <f>SUM(C125:C135)</f>
        <v>1006356.78</v>
      </c>
      <c r="K135" s="649"/>
      <c r="L135" s="651" t="s">
        <v>2146</v>
      </c>
      <c r="M135" s="651"/>
      <c r="N135" s="651"/>
      <c r="O135" s="651"/>
      <c r="P135" s="651" t="s">
        <v>66</v>
      </c>
      <c r="Q135" s="651" t="s">
        <v>1074</v>
      </c>
      <c r="R135" s="651" t="s">
        <v>69</v>
      </c>
      <c r="S135" s="651"/>
    </row>
    <row r="136" spans="1:19">
      <c r="A136" s="649" t="s">
        <v>2286</v>
      </c>
      <c r="B136" s="649" t="s">
        <v>2159</v>
      </c>
      <c r="C136" s="652">
        <v>0</v>
      </c>
      <c r="D136" s="650">
        <v>0</v>
      </c>
      <c r="E136" s="650">
        <v>18685.060000000001</v>
      </c>
      <c r="F136" s="649">
        <v>0</v>
      </c>
      <c r="G136" s="649">
        <v>0</v>
      </c>
      <c r="H136" s="649">
        <v>0</v>
      </c>
      <c r="I136" s="649" t="s">
        <v>773</v>
      </c>
      <c r="J136" s="649"/>
      <c r="K136" s="649"/>
      <c r="L136" s="651"/>
      <c r="M136" s="651"/>
      <c r="N136" s="651"/>
      <c r="O136" s="651"/>
      <c r="P136" s="651" t="s">
        <v>769</v>
      </c>
      <c r="Q136" s="651" t="s">
        <v>689</v>
      </c>
      <c r="R136" s="651"/>
      <c r="S136" s="651"/>
    </row>
    <row r="137" spans="1:19">
      <c r="A137" s="649" t="s">
        <v>186</v>
      </c>
      <c r="B137" s="649" t="s">
        <v>2159</v>
      </c>
      <c r="C137" s="652">
        <v>1256673.55</v>
      </c>
      <c r="D137" s="650">
        <v>1330000</v>
      </c>
      <c r="E137" s="650">
        <v>46568.21</v>
      </c>
      <c r="F137" s="649">
        <v>0</v>
      </c>
      <c r="G137" s="649">
        <v>73326.45</v>
      </c>
      <c r="H137" s="649">
        <v>6</v>
      </c>
      <c r="I137" s="649" t="s">
        <v>1625</v>
      </c>
      <c r="J137" s="649"/>
      <c r="K137" s="649"/>
      <c r="L137" s="651" t="s">
        <v>2140</v>
      </c>
      <c r="M137" s="651"/>
      <c r="N137" s="651"/>
      <c r="O137" s="651" t="s">
        <v>2180</v>
      </c>
      <c r="P137" s="651" t="s">
        <v>103</v>
      </c>
      <c r="Q137" s="651" t="s">
        <v>104</v>
      </c>
      <c r="R137" s="651" t="s">
        <v>1074</v>
      </c>
      <c r="S137" s="651" t="s">
        <v>105</v>
      </c>
    </row>
    <row r="138" spans="1:19">
      <c r="A138" s="649" t="s">
        <v>187</v>
      </c>
      <c r="B138" s="649" t="s">
        <v>2159</v>
      </c>
      <c r="C138" s="652">
        <v>22145.040000000001</v>
      </c>
      <c r="D138" s="650">
        <v>23000</v>
      </c>
      <c r="E138" s="650">
        <v>2836.33</v>
      </c>
      <c r="F138" s="649">
        <v>0</v>
      </c>
      <c r="G138" s="649">
        <v>854.96</v>
      </c>
      <c r="H138" s="649">
        <v>4</v>
      </c>
      <c r="I138" s="649" t="s">
        <v>1625</v>
      </c>
      <c r="J138" s="649"/>
      <c r="K138" s="649"/>
      <c r="L138" s="651" t="s">
        <v>2140</v>
      </c>
      <c r="M138" s="651"/>
      <c r="N138" s="651"/>
      <c r="O138" s="651" t="s">
        <v>2180</v>
      </c>
      <c r="P138" s="651" t="s">
        <v>107</v>
      </c>
      <c r="Q138" s="651" t="s">
        <v>1074</v>
      </c>
      <c r="R138" s="651" t="s">
        <v>108</v>
      </c>
      <c r="S138" s="651"/>
    </row>
    <row r="139" spans="1:19">
      <c r="A139" s="649" t="s">
        <v>188</v>
      </c>
      <c r="B139" s="649" t="s">
        <v>2159</v>
      </c>
      <c r="C139" s="652">
        <v>120566.7</v>
      </c>
      <c r="D139" s="650">
        <v>124854</v>
      </c>
      <c r="E139" s="650">
        <v>35685.03</v>
      </c>
      <c r="F139" s="649">
        <v>0</v>
      </c>
      <c r="G139" s="649">
        <v>4287.3</v>
      </c>
      <c r="H139" s="649">
        <v>3</v>
      </c>
      <c r="I139" s="649" t="s">
        <v>1625</v>
      </c>
      <c r="J139" s="649"/>
      <c r="K139" s="649"/>
      <c r="L139" s="651" t="s">
        <v>2140</v>
      </c>
      <c r="M139" s="651"/>
      <c r="N139" s="651"/>
      <c r="O139" s="651" t="s">
        <v>2180</v>
      </c>
      <c r="P139" s="651" t="s">
        <v>77</v>
      </c>
      <c r="Q139" s="651" t="s">
        <v>110</v>
      </c>
      <c r="R139" s="651" t="s">
        <v>1074</v>
      </c>
      <c r="S139" s="651" t="s">
        <v>111</v>
      </c>
    </row>
    <row r="140" spans="1:19">
      <c r="A140" s="649" t="s">
        <v>189</v>
      </c>
      <c r="B140" s="649" t="s">
        <v>2159</v>
      </c>
      <c r="C140" s="652">
        <v>86442.47</v>
      </c>
      <c r="D140" s="650">
        <v>90000</v>
      </c>
      <c r="E140" s="650">
        <v>12978.44</v>
      </c>
      <c r="F140" s="649">
        <v>0</v>
      </c>
      <c r="G140" s="649">
        <v>3557.53</v>
      </c>
      <c r="H140" s="649">
        <v>4</v>
      </c>
      <c r="I140" s="649" t="s">
        <v>1625</v>
      </c>
      <c r="J140" s="649"/>
      <c r="K140" s="649"/>
      <c r="L140" s="651" t="s">
        <v>2140</v>
      </c>
      <c r="M140" s="651"/>
      <c r="N140" s="651"/>
      <c r="O140" s="651" t="s">
        <v>2180</v>
      </c>
      <c r="P140" s="651" t="s">
        <v>713</v>
      </c>
      <c r="Q140" s="651" t="s">
        <v>3445</v>
      </c>
      <c r="R140" s="651" t="s">
        <v>1074</v>
      </c>
      <c r="S140" s="651"/>
    </row>
    <row r="141" spans="1:19">
      <c r="A141" s="649" t="s">
        <v>190</v>
      </c>
      <c r="B141" s="649" t="s">
        <v>2159</v>
      </c>
      <c r="C141" s="652">
        <v>0</v>
      </c>
      <c r="D141" s="650">
        <v>0</v>
      </c>
      <c r="E141" s="650">
        <v>0</v>
      </c>
      <c r="F141" s="649">
        <v>0</v>
      </c>
      <c r="G141" s="649">
        <v>0</v>
      </c>
      <c r="H141" s="649">
        <v>0</v>
      </c>
      <c r="I141" s="649" t="s">
        <v>1625</v>
      </c>
      <c r="J141" s="649"/>
      <c r="K141" s="649"/>
      <c r="L141" s="651" t="s">
        <v>2140</v>
      </c>
      <c r="M141" s="651"/>
      <c r="N141" s="651"/>
      <c r="O141" s="651" t="s">
        <v>2180</v>
      </c>
      <c r="P141" s="651" t="s">
        <v>915</v>
      </c>
      <c r="Q141" s="651" t="s">
        <v>114</v>
      </c>
      <c r="R141" s="651" t="s">
        <v>1074</v>
      </c>
      <c r="S141" s="651" t="s">
        <v>115</v>
      </c>
    </row>
    <row r="142" spans="1:19">
      <c r="A142" s="649" t="s">
        <v>191</v>
      </c>
      <c r="B142" s="649" t="s">
        <v>2159</v>
      </c>
      <c r="C142" s="652">
        <v>20670.2</v>
      </c>
      <c r="D142" s="650">
        <v>20700</v>
      </c>
      <c r="E142" s="650">
        <v>2011.29</v>
      </c>
      <c r="F142" s="649">
        <v>0</v>
      </c>
      <c r="G142" s="649">
        <v>29.8</v>
      </c>
      <c r="H142" s="649">
        <v>0</v>
      </c>
      <c r="I142" s="649" t="s">
        <v>1625</v>
      </c>
      <c r="J142" s="649"/>
      <c r="K142" s="649"/>
      <c r="L142" s="651" t="s">
        <v>2140</v>
      </c>
      <c r="M142" s="651"/>
      <c r="N142" s="651"/>
      <c r="O142" s="651" t="s">
        <v>1770</v>
      </c>
      <c r="P142" s="651" t="s">
        <v>1101</v>
      </c>
      <c r="Q142" s="651" t="s">
        <v>805</v>
      </c>
      <c r="R142" s="651"/>
      <c r="S142" s="651"/>
    </row>
    <row r="143" spans="1:19">
      <c r="A143" s="649" t="s">
        <v>192</v>
      </c>
      <c r="B143" s="649" t="s">
        <v>2159</v>
      </c>
      <c r="C143" s="652">
        <v>224416.53</v>
      </c>
      <c r="D143" s="650">
        <v>226000</v>
      </c>
      <c r="E143" s="650">
        <v>18521.09</v>
      </c>
      <c r="F143" s="649">
        <v>0</v>
      </c>
      <c r="G143" s="649">
        <v>1583.47</v>
      </c>
      <c r="H143" s="649">
        <v>1</v>
      </c>
      <c r="I143" s="649" t="s">
        <v>1625</v>
      </c>
      <c r="J143" s="649"/>
      <c r="K143" s="649"/>
      <c r="L143" s="651" t="s">
        <v>2140</v>
      </c>
      <c r="M143" s="651"/>
      <c r="N143" s="651"/>
      <c r="O143" s="651" t="s">
        <v>2180</v>
      </c>
      <c r="P143" s="651" t="s">
        <v>118</v>
      </c>
      <c r="Q143" s="651" t="s">
        <v>805</v>
      </c>
      <c r="R143" s="651"/>
      <c r="S143" s="651"/>
    </row>
    <row r="144" spans="1:19">
      <c r="A144" s="649" t="s">
        <v>193</v>
      </c>
      <c r="B144" s="649" t="s">
        <v>2159</v>
      </c>
      <c r="C144" s="652">
        <v>21511.81</v>
      </c>
      <c r="D144" s="650">
        <v>22000</v>
      </c>
      <c r="E144" s="650">
        <v>1698.79</v>
      </c>
      <c r="F144" s="649">
        <v>0</v>
      </c>
      <c r="G144" s="649">
        <v>488.19</v>
      </c>
      <c r="H144" s="649">
        <v>2</v>
      </c>
      <c r="I144" s="649" t="s">
        <v>1625</v>
      </c>
      <c r="J144" s="649"/>
      <c r="K144" s="649"/>
      <c r="L144" s="651" t="s">
        <v>2140</v>
      </c>
      <c r="M144" s="651"/>
      <c r="N144" s="651"/>
      <c r="O144" s="651" t="s">
        <v>2180</v>
      </c>
      <c r="P144" s="651" t="s">
        <v>194</v>
      </c>
      <c r="Q144" s="651" t="s">
        <v>195</v>
      </c>
      <c r="R144" s="651"/>
      <c r="S144" s="651"/>
    </row>
    <row r="145" spans="1:19">
      <c r="A145" s="649" t="s">
        <v>196</v>
      </c>
      <c r="B145" s="649" t="s">
        <v>2159</v>
      </c>
      <c r="C145" s="652">
        <v>65199.12</v>
      </c>
      <c r="D145" s="650">
        <v>65500</v>
      </c>
      <c r="E145" s="650">
        <v>6476.4</v>
      </c>
      <c r="F145" s="649">
        <v>0</v>
      </c>
      <c r="G145" s="649">
        <v>300.88</v>
      </c>
      <c r="H145" s="649">
        <v>0</v>
      </c>
      <c r="I145" s="649" t="s">
        <v>1625</v>
      </c>
      <c r="J145" s="649"/>
      <c r="K145" s="649"/>
      <c r="L145" s="651" t="s">
        <v>2140</v>
      </c>
      <c r="M145" s="651"/>
      <c r="N145" s="651"/>
      <c r="O145" s="651" t="s">
        <v>2178</v>
      </c>
      <c r="P145" s="651" t="s">
        <v>816</v>
      </c>
      <c r="Q145" s="651" t="s">
        <v>1074</v>
      </c>
      <c r="R145" s="651" t="s">
        <v>796</v>
      </c>
      <c r="S145" s="651" t="s">
        <v>797</v>
      </c>
    </row>
    <row r="146" spans="1:19">
      <c r="A146" s="649" t="s">
        <v>197</v>
      </c>
      <c r="B146" s="649" t="s">
        <v>2159</v>
      </c>
      <c r="C146" s="652">
        <v>220194</v>
      </c>
      <c r="D146" s="650">
        <v>221000</v>
      </c>
      <c r="E146" s="650">
        <v>20419.75</v>
      </c>
      <c r="F146" s="649">
        <v>0</v>
      </c>
      <c r="G146" s="649">
        <v>806</v>
      </c>
      <c r="H146" s="649">
        <v>0</v>
      </c>
      <c r="I146" s="649" t="s">
        <v>1625</v>
      </c>
      <c r="J146" s="649"/>
      <c r="K146" s="649"/>
      <c r="L146" s="651" t="s">
        <v>2140</v>
      </c>
      <c r="M146" s="651"/>
      <c r="N146" s="651"/>
      <c r="O146" s="651" t="s">
        <v>2181</v>
      </c>
      <c r="P146" s="651" t="s">
        <v>816</v>
      </c>
      <c r="Q146" s="651" t="s">
        <v>1074</v>
      </c>
      <c r="R146" s="651" t="s">
        <v>124</v>
      </c>
      <c r="S146" s="651" t="s">
        <v>125</v>
      </c>
    </row>
    <row r="147" spans="1:19">
      <c r="A147" s="649" t="s">
        <v>198</v>
      </c>
      <c r="B147" s="649" t="s">
        <v>2159</v>
      </c>
      <c r="C147" s="652">
        <v>13048.17</v>
      </c>
      <c r="D147" s="650">
        <v>13100</v>
      </c>
      <c r="E147" s="650">
        <v>1240.94</v>
      </c>
      <c r="F147" s="649">
        <v>0</v>
      </c>
      <c r="G147" s="649">
        <v>51.83</v>
      </c>
      <c r="H147" s="649">
        <v>0</v>
      </c>
      <c r="I147" s="649" t="s">
        <v>1625</v>
      </c>
      <c r="J147" s="649"/>
      <c r="K147" s="649"/>
      <c r="L147" s="651" t="s">
        <v>2140</v>
      </c>
      <c r="M147" s="651"/>
      <c r="N147" s="651"/>
      <c r="O147" s="651" t="s">
        <v>1827</v>
      </c>
      <c r="P147" s="651" t="s">
        <v>816</v>
      </c>
      <c r="Q147" s="651" t="s">
        <v>1074</v>
      </c>
      <c r="R147" s="651" t="s">
        <v>793</v>
      </c>
      <c r="S147" s="651"/>
    </row>
    <row r="148" spans="1:19">
      <c r="A148" s="649" t="s">
        <v>199</v>
      </c>
      <c r="B148" s="649" t="s">
        <v>2159</v>
      </c>
      <c r="C148" s="652">
        <v>13092.81</v>
      </c>
      <c r="D148" s="650">
        <v>13100</v>
      </c>
      <c r="E148" s="650">
        <v>1235.1500000000001</v>
      </c>
      <c r="F148" s="649">
        <v>0</v>
      </c>
      <c r="G148" s="649">
        <v>7.19</v>
      </c>
      <c r="H148" s="649">
        <v>0</v>
      </c>
      <c r="I148" s="649" t="s">
        <v>1625</v>
      </c>
      <c r="J148" s="649"/>
      <c r="K148" s="649"/>
      <c r="L148" s="651" t="s">
        <v>2140</v>
      </c>
      <c r="M148" s="651"/>
      <c r="N148" s="651"/>
      <c r="O148" s="651" t="s">
        <v>2182</v>
      </c>
      <c r="P148" s="651" t="s">
        <v>816</v>
      </c>
      <c r="Q148" s="651" t="s">
        <v>1074</v>
      </c>
      <c r="R148" s="651" t="s">
        <v>128</v>
      </c>
      <c r="S148" s="651" t="s">
        <v>129</v>
      </c>
    </row>
    <row r="149" spans="1:19">
      <c r="A149" s="649" t="s">
        <v>200</v>
      </c>
      <c r="B149" s="649" t="s">
        <v>2159</v>
      </c>
      <c r="C149" s="652">
        <v>630.4</v>
      </c>
      <c r="D149" s="650">
        <v>700</v>
      </c>
      <c r="E149" s="650">
        <v>60.8</v>
      </c>
      <c r="F149" s="649">
        <v>0</v>
      </c>
      <c r="G149" s="649">
        <v>69.599999999999994</v>
      </c>
      <c r="H149" s="649">
        <v>10</v>
      </c>
      <c r="I149" s="649" t="s">
        <v>1625</v>
      </c>
      <c r="J149" s="649"/>
      <c r="K149" s="649"/>
      <c r="L149" s="651" t="s">
        <v>2140</v>
      </c>
      <c r="M149" s="651"/>
      <c r="N149" s="651"/>
      <c r="O149" s="651" t="s">
        <v>2180</v>
      </c>
      <c r="P149" s="651" t="s">
        <v>2486</v>
      </c>
      <c r="Q149" s="651" t="s">
        <v>1074</v>
      </c>
      <c r="R149" s="651" t="s">
        <v>802</v>
      </c>
      <c r="S149" s="651"/>
    </row>
    <row r="150" spans="1:19">
      <c r="A150" s="649" t="s">
        <v>201</v>
      </c>
      <c r="B150" s="649" t="s">
        <v>2159</v>
      </c>
      <c r="C150" s="652">
        <v>0</v>
      </c>
      <c r="D150" s="650">
        <v>6748</v>
      </c>
      <c r="E150" s="650">
        <v>0</v>
      </c>
      <c r="F150" s="649">
        <v>0</v>
      </c>
      <c r="G150" s="649">
        <v>6748</v>
      </c>
      <c r="H150" s="649">
        <v>100</v>
      </c>
      <c r="I150" s="649" t="s">
        <v>1625</v>
      </c>
      <c r="J150" s="649"/>
      <c r="K150" s="649"/>
      <c r="L150" s="651" t="s">
        <v>2142</v>
      </c>
      <c r="M150" s="651"/>
      <c r="N150" s="651"/>
      <c r="O150" s="651"/>
      <c r="P150" s="651" t="s">
        <v>819</v>
      </c>
      <c r="Q150" s="651" t="s">
        <v>132</v>
      </c>
      <c r="R150" s="651" t="s">
        <v>133</v>
      </c>
      <c r="S150" s="651"/>
    </row>
    <row r="151" spans="1:19">
      <c r="A151" s="649" t="s">
        <v>202</v>
      </c>
      <c r="B151" s="649" t="s">
        <v>2159</v>
      </c>
      <c r="C151" s="652">
        <v>107.95</v>
      </c>
      <c r="D151" s="650">
        <v>200</v>
      </c>
      <c r="E151" s="650">
        <v>0</v>
      </c>
      <c r="F151" s="649">
        <v>0</v>
      </c>
      <c r="G151" s="649">
        <v>92.05</v>
      </c>
      <c r="H151" s="649">
        <v>46</v>
      </c>
      <c r="I151" s="649" t="s">
        <v>1625</v>
      </c>
      <c r="J151" s="649"/>
      <c r="K151" s="649"/>
      <c r="L151" s="651" t="s">
        <v>2143</v>
      </c>
      <c r="M151" s="651"/>
      <c r="N151" s="651"/>
      <c r="O151" s="651"/>
      <c r="P151" s="651" t="s">
        <v>825</v>
      </c>
      <c r="Q151" s="651" t="s">
        <v>780</v>
      </c>
      <c r="R151" s="651" t="s">
        <v>826</v>
      </c>
      <c r="S151" s="651"/>
    </row>
    <row r="152" spans="1:19">
      <c r="A152" s="649" t="s">
        <v>203</v>
      </c>
      <c r="B152" s="649" t="s">
        <v>2159</v>
      </c>
      <c r="C152" s="652">
        <v>42728.07</v>
      </c>
      <c r="D152" s="650">
        <v>42900</v>
      </c>
      <c r="E152" s="650">
        <v>34558.44</v>
      </c>
      <c r="F152" s="649">
        <v>0</v>
      </c>
      <c r="G152" s="649">
        <v>171.93</v>
      </c>
      <c r="H152" s="649">
        <v>0</v>
      </c>
      <c r="I152" s="649" t="s">
        <v>1625</v>
      </c>
      <c r="J152" s="649"/>
      <c r="K152" s="649"/>
      <c r="L152" s="651" t="s">
        <v>2146</v>
      </c>
      <c r="M152" s="651"/>
      <c r="N152" s="651"/>
      <c r="O152" s="651"/>
      <c r="P152" s="651" t="s">
        <v>846</v>
      </c>
      <c r="Q152" s="651" t="s">
        <v>1074</v>
      </c>
      <c r="R152" s="651" t="s">
        <v>847</v>
      </c>
      <c r="S152" s="651"/>
    </row>
    <row r="153" spans="1:19">
      <c r="A153" s="649" t="s">
        <v>204</v>
      </c>
      <c r="B153" s="649" t="s">
        <v>2159</v>
      </c>
      <c r="C153" s="652">
        <v>19059.740000000002</v>
      </c>
      <c r="D153" s="650">
        <v>19700</v>
      </c>
      <c r="E153" s="650">
        <v>11985.66</v>
      </c>
      <c r="F153" s="649">
        <v>0</v>
      </c>
      <c r="G153" s="649">
        <v>640.26</v>
      </c>
      <c r="H153" s="649">
        <v>3</v>
      </c>
      <c r="I153" s="649" t="s">
        <v>1625</v>
      </c>
      <c r="J153" s="649"/>
      <c r="K153" s="649"/>
      <c r="L153" s="651" t="s">
        <v>2146</v>
      </c>
      <c r="M153" s="651"/>
      <c r="N153" s="651"/>
      <c r="O153" s="651"/>
      <c r="P153" s="651" t="s">
        <v>849</v>
      </c>
      <c r="Q153" s="651" t="s">
        <v>780</v>
      </c>
      <c r="R153" s="651" t="s">
        <v>850</v>
      </c>
      <c r="S153" s="651"/>
    </row>
    <row r="154" spans="1:19">
      <c r="A154" s="649" t="s">
        <v>205</v>
      </c>
      <c r="B154" s="649" t="s">
        <v>2159</v>
      </c>
      <c r="C154" s="652">
        <v>3318.99</v>
      </c>
      <c r="D154" s="650">
        <v>3700</v>
      </c>
      <c r="E154" s="650">
        <v>0</v>
      </c>
      <c r="F154" s="649">
        <v>0</v>
      </c>
      <c r="G154" s="649">
        <v>381.01</v>
      </c>
      <c r="H154" s="649">
        <v>10</v>
      </c>
      <c r="I154" s="649" t="s">
        <v>1625</v>
      </c>
      <c r="J154" s="649"/>
      <c r="K154" s="649"/>
      <c r="L154" s="651" t="s">
        <v>2146</v>
      </c>
      <c r="M154" s="651"/>
      <c r="N154" s="651"/>
      <c r="O154" s="651"/>
      <c r="P154" s="651" t="s">
        <v>141</v>
      </c>
      <c r="Q154" s="651" t="s">
        <v>780</v>
      </c>
      <c r="R154" s="651" t="s">
        <v>142</v>
      </c>
      <c r="S154" s="651"/>
    </row>
    <row r="155" spans="1:19">
      <c r="A155" s="649" t="s">
        <v>206</v>
      </c>
      <c r="B155" s="649" t="s">
        <v>2159</v>
      </c>
      <c r="C155" s="652">
        <v>73121.539999999994</v>
      </c>
      <c r="D155" s="650">
        <v>73400</v>
      </c>
      <c r="E155" s="650">
        <v>71278.14</v>
      </c>
      <c r="F155" s="649">
        <v>0</v>
      </c>
      <c r="G155" s="649">
        <v>278.45999999999998</v>
      </c>
      <c r="H155" s="649">
        <v>0</v>
      </c>
      <c r="I155" s="649" t="s">
        <v>1625</v>
      </c>
      <c r="J155" s="649"/>
      <c r="K155" s="649"/>
      <c r="L155" s="651" t="s">
        <v>2146</v>
      </c>
      <c r="M155" s="651"/>
      <c r="N155" s="651"/>
      <c r="O155" s="651"/>
      <c r="P155" s="651" t="s">
        <v>856</v>
      </c>
      <c r="Q155" s="651" t="s">
        <v>857</v>
      </c>
      <c r="R155" s="651"/>
      <c r="S155" s="651"/>
    </row>
    <row r="156" spans="1:19">
      <c r="A156" s="649" t="s">
        <v>207</v>
      </c>
      <c r="B156" s="649" t="s">
        <v>2159</v>
      </c>
      <c r="C156" s="652">
        <v>14384.62</v>
      </c>
      <c r="D156" s="650">
        <v>14500</v>
      </c>
      <c r="E156" s="650">
        <v>768.85</v>
      </c>
      <c r="F156" s="649">
        <v>0</v>
      </c>
      <c r="G156" s="649">
        <v>115.38</v>
      </c>
      <c r="H156" s="649">
        <v>1</v>
      </c>
      <c r="I156" s="649" t="s">
        <v>1625</v>
      </c>
      <c r="J156" s="649"/>
      <c r="K156" s="649"/>
      <c r="L156" s="651" t="s">
        <v>2146</v>
      </c>
      <c r="M156" s="651"/>
      <c r="N156" s="651"/>
      <c r="O156" s="651"/>
      <c r="P156" s="651" t="s">
        <v>3248</v>
      </c>
      <c r="Q156" s="651"/>
      <c r="R156" s="651"/>
      <c r="S156" s="651"/>
    </row>
    <row r="157" spans="1:19">
      <c r="A157" s="649" t="s">
        <v>208</v>
      </c>
      <c r="B157" s="649" t="s">
        <v>2159</v>
      </c>
      <c r="C157" s="652">
        <v>520.13</v>
      </c>
      <c r="D157" s="650">
        <v>650</v>
      </c>
      <c r="E157" s="650">
        <v>4.43</v>
      </c>
      <c r="F157" s="649">
        <v>0</v>
      </c>
      <c r="G157" s="649">
        <v>129.87</v>
      </c>
      <c r="H157" s="649">
        <v>20</v>
      </c>
      <c r="I157" s="649" t="s">
        <v>1625</v>
      </c>
      <c r="J157" s="649"/>
      <c r="K157" s="649"/>
      <c r="L157" s="651" t="s">
        <v>2146</v>
      </c>
      <c r="M157" s="651"/>
      <c r="N157" s="651"/>
      <c r="O157" s="651"/>
      <c r="P157" s="651" t="s">
        <v>878</v>
      </c>
      <c r="Q157" s="651" t="s">
        <v>780</v>
      </c>
      <c r="R157" s="651" t="s">
        <v>879</v>
      </c>
      <c r="S157" s="651"/>
    </row>
    <row r="158" spans="1:19">
      <c r="A158" s="649" t="s">
        <v>209</v>
      </c>
      <c r="B158" s="649" t="s">
        <v>2159</v>
      </c>
      <c r="C158" s="652">
        <v>98124.479999999996</v>
      </c>
      <c r="D158" s="650">
        <v>99000</v>
      </c>
      <c r="E158" s="650">
        <v>27458.1</v>
      </c>
      <c r="F158" s="649">
        <v>0</v>
      </c>
      <c r="G158" s="649">
        <v>875.52</v>
      </c>
      <c r="H158" s="649">
        <v>1</v>
      </c>
      <c r="I158" s="649" t="s">
        <v>1625</v>
      </c>
      <c r="J158" s="649"/>
      <c r="K158" s="649"/>
      <c r="L158" s="651" t="s">
        <v>2146</v>
      </c>
      <c r="M158" s="651"/>
      <c r="N158" s="651"/>
      <c r="O158" s="651"/>
      <c r="P158" s="651" t="s">
        <v>881</v>
      </c>
      <c r="Q158" s="651" t="s">
        <v>780</v>
      </c>
      <c r="R158" s="651" t="s">
        <v>882</v>
      </c>
      <c r="S158" s="651"/>
    </row>
    <row r="159" spans="1:19">
      <c r="A159" s="649" t="s">
        <v>210</v>
      </c>
      <c r="B159" s="649" t="s">
        <v>2159</v>
      </c>
      <c r="C159" s="652">
        <v>204363.55</v>
      </c>
      <c r="D159" s="650">
        <v>205000</v>
      </c>
      <c r="E159" s="650">
        <v>30862.53</v>
      </c>
      <c r="F159" s="649">
        <v>0</v>
      </c>
      <c r="G159" s="649">
        <v>636.45000000000005</v>
      </c>
      <c r="H159" s="649">
        <v>0</v>
      </c>
      <c r="I159" s="649" t="s">
        <v>1625</v>
      </c>
      <c r="J159" s="649"/>
      <c r="K159" s="649"/>
      <c r="L159" s="651" t="s">
        <v>2146</v>
      </c>
      <c r="M159" s="651"/>
      <c r="N159" s="651"/>
      <c r="O159" s="651"/>
      <c r="P159" s="651" t="s">
        <v>63</v>
      </c>
      <c r="Q159" s="651" t="s">
        <v>780</v>
      </c>
      <c r="R159" s="651" t="s">
        <v>64</v>
      </c>
      <c r="S159" s="651"/>
    </row>
    <row r="160" spans="1:19">
      <c r="A160" s="649" t="s">
        <v>211</v>
      </c>
      <c r="B160" s="649" t="s">
        <v>2159</v>
      </c>
      <c r="C160" s="652">
        <v>9497.41</v>
      </c>
      <c r="D160" s="650">
        <v>9500</v>
      </c>
      <c r="E160" s="650">
        <v>1133.3499999999999</v>
      </c>
      <c r="F160" s="649">
        <v>0</v>
      </c>
      <c r="G160" s="649">
        <v>2.59</v>
      </c>
      <c r="H160" s="649">
        <v>0</v>
      </c>
      <c r="I160" s="649" t="s">
        <v>1625</v>
      </c>
      <c r="J160" s="649"/>
      <c r="K160" s="649"/>
      <c r="L160" s="651" t="s">
        <v>2146</v>
      </c>
      <c r="M160" s="651"/>
      <c r="N160" s="651"/>
      <c r="O160" s="651"/>
      <c r="P160" s="651" t="s">
        <v>66</v>
      </c>
      <c r="Q160" s="651" t="s">
        <v>1074</v>
      </c>
      <c r="R160" s="651" t="s">
        <v>67</v>
      </c>
      <c r="S160" s="651"/>
    </row>
    <row r="161" spans="1:19">
      <c r="A161" s="649" t="s">
        <v>212</v>
      </c>
      <c r="B161" s="649" t="s">
        <v>2159</v>
      </c>
      <c r="C161" s="652">
        <v>1988.98</v>
      </c>
      <c r="D161" s="650">
        <v>2700</v>
      </c>
      <c r="E161" s="650">
        <v>0</v>
      </c>
      <c r="F161" s="649">
        <v>0</v>
      </c>
      <c r="G161" s="649">
        <v>711.02</v>
      </c>
      <c r="H161" s="649">
        <v>26</v>
      </c>
      <c r="I161" s="649" t="s">
        <v>1625</v>
      </c>
      <c r="J161" s="649"/>
      <c r="K161" s="649"/>
      <c r="L161" s="651" t="s">
        <v>2146</v>
      </c>
      <c r="M161" s="651"/>
      <c r="N161" s="651"/>
      <c r="O161" s="651"/>
      <c r="P161" s="651" t="s">
        <v>66</v>
      </c>
      <c r="Q161" s="651" t="s">
        <v>1074</v>
      </c>
      <c r="R161" s="651" t="s">
        <v>69</v>
      </c>
      <c r="S161" s="651"/>
    </row>
    <row r="162" spans="1:19">
      <c r="A162" s="649" t="s">
        <v>213</v>
      </c>
      <c r="B162" s="649" t="s">
        <v>2159</v>
      </c>
      <c r="C162" s="652">
        <v>298936.33</v>
      </c>
      <c r="D162" s="650">
        <v>300000</v>
      </c>
      <c r="E162" s="650">
        <v>53065.72</v>
      </c>
      <c r="F162" s="649">
        <v>0</v>
      </c>
      <c r="G162" s="649">
        <v>1063.67</v>
      </c>
      <c r="H162" s="649">
        <v>0</v>
      </c>
      <c r="I162" s="649" t="s">
        <v>1625</v>
      </c>
      <c r="J162" s="649"/>
      <c r="K162" s="649"/>
      <c r="L162" s="651" t="s">
        <v>2146</v>
      </c>
      <c r="M162" s="651"/>
      <c r="N162" s="651"/>
      <c r="O162" s="651"/>
      <c r="P162" s="651" t="s">
        <v>214</v>
      </c>
      <c r="Q162" s="651" t="s">
        <v>2339</v>
      </c>
      <c r="R162" s="651"/>
      <c r="S162" s="651"/>
    </row>
    <row r="163" spans="1:19">
      <c r="A163" s="649" t="s">
        <v>215</v>
      </c>
      <c r="B163" s="649" t="s">
        <v>2159</v>
      </c>
      <c r="C163" s="652">
        <v>0</v>
      </c>
      <c r="D163" s="650">
        <v>0</v>
      </c>
      <c r="E163" s="650">
        <v>0</v>
      </c>
      <c r="F163" s="649">
        <v>0</v>
      </c>
      <c r="G163" s="649">
        <v>0</v>
      </c>
      <c r="H163" s="649">
        <v>0</v>
      </c>
      <c r="I163" s="649" t="s">
        <v>1625</v>
      </c>
      <c r="J163" s="649">
        <f>SUM(C137:C163)</f>
        <v>2830742.5900000003</v>
      </c>
      <c r="K163" s="649"/>
      <c r="L163" s="651" t="s">
        <v>2146</v>
      </c>
      <c r="M163" s="651"/>
      <c r="N163" s="651"/>
      <c r="O163" s="651" t="s">
        <v>2147</v>
      </c>
      <c r="P163" s="651" t="s">
        <v>216</v>
      </c>
      <c r="Q163" s="651" t="s">
        <v>217</v>
      </c>
      <c r="R163" s="651" t="s">
        <v>218</v>
      </c>
      <c r="S163" s="651"/>
    </row>
    <row r="164" spans="1:19">
      <c r="A164" s="649" t="s">
        <v>219</v>
      </c>
      <c r="B164" s="649" t="s">
        <v>2160</v>
      </c>
      <c r="C164" s="652">
        <v>0</v>
      </c>
      <c r="D164" s="650">
        <v>0</v>
      </c>
      <c r="E164" s="650">
        <v>0</v>
      </c>
      <c r="F164" s="649">
        <v>0</v>
      </c>
      <c r="G164" s="649">
        <v>0</v>
      </c>
      <c r="H164" s="649">
        <v>0</v>
      </c>
      <c r="I164" s="649" t="s">
        <v>773</v>
      </c>
      <c r="J164" s="649"/>
      <c r="K164" s="649"/>
      <c r="L164" s="651"/>
      <c r="M164" s="651"/>
      <c r="N164" s="651"/>
      <c r="O164" s="651"/>
      <c r="P164" s="651" t="s">
        <v>769</v>
      </c>
      <c r="Q164" s="651" t="s">
        <v>689</v>
      </c>
      <c r="R164" s="651"/>
      <c r="S164" s="651"/>
    </row>
    <row r="165" spans="1:19">
      <c r="A165" s="649" t="s">
        <v>220</v>
      </c>
      <c r="B165" s="649" t="s">
        <v>2160</v>
      </c>
      <c r="C165" s="652">
        <v>53384.29</v>
      </c>
      <c r="D165" s="650">
        <v>54000</v>
      </c>
      <c r="E165" s="650">
        <v>15900.14</v>
      </c>
      <c r="F165" s="649">
        <v>0</v>
      </c>
      <c r="G165" s="649">
        <v>615.71</v>
      </c>
      <c r="H165" s="649">
        <v>1</v>
      </c>
      <c r="I165" s="649" t="s">
        <v>1625</v>
      </c>
      <c r="J165" s="649"/>
      <c r="K165" s="649"/>
      <c r="L165" s="651" t="s">
        <v>2146</v>
      </c>
      <c r="M165" s="651"/>
      <c r="N165" s="651"/>
      <c r="O165" s="651"/>
      <c r="P165" s="651" t="s">
        <v>846</v>
      </c>
      <c r="Q165" s="651" t="s">
        <v>1074</v>
      </c>
      <c r="R165" s="651" t="s">
        <v>847</v>
      </c>
      <c r="S165" s="651"/>
    </row>
    <row r="166" spans="1:19">
      <c r="A166" s="649" t="s">
        <v>221</v>
      </c>
      <c r="B166" s="649" t="s">
        <v>2160</v>
      </c>
      <c r="C166" s="652">
        <v>0</v>
      </c>
      <c r="D166" s="650">
        <v>1500</v>
      </c>
      <c r="E166" s="650">
        <v>0</v>
      </c>
      <c r="F166" s="649">
        <v>0</v>
      </c>
      <c r="G166" s="649">
        <v>1500</v>
      </c>
      <c r="H166" s="649">
        <v>100</v>
      </c>
      <c r="I166" s="649" t="s">
        <v>1625</v>
      </c>
      <c r="J166" s="649"/>
      <c r="K166" s="649"/>
      <c r="L166" s="651" t="s">
        <v>2146</v>
      </c>
      <c r="M166" s="651"/>
      <c r="N166" s="651"/>
      <c r="O166" s="651"/>
      <c r="P166" s="651" t="s">
        <v>849</v>
      </c>
      <c r="Q166" s="651" t="s">
        <v>780</v>
      </c>
      <c r="R166" s="651" t="s">
        <v>850</v>
      </c>
      <c r="S166" s="651"/>
    </row>
    <row r="167" spans="1:19">
      <c r="A167" s="649" t="s">
        <v>222</v>
      </c>
      <c r="B167" s="649" t="s">
        <v>2160</v>
      </c>
      <c r="C167" s="652">
        <v>0</v>
      </c>
      <c r="D167" s="650">
        <v>0</v>
      </c>
      <c r="E167" s="650">
        <v>0</v>
      </c>
      <c r="F167" s="649">
        <v>0</v>
      </c>
      <c r="G167" s="649">
        <v>0</v>
      </c>
      <c r="H167" s="649">
        <v>0</v>
      </c>
      <c r="I167" s="649" t="s">
        <v>1625</v>
      </c>
      <c r="J167" s="649"/>
      <c r="K167" s="649"/>
      <c r="L167" s="651" t="s">
        <v>2146</v>
      </c>
      <c r="M167" s="651"/>
      <c r="N167" s="651"/>
      <c r="O167" s="651"/>
      <c r="P167" s="651" t="s">
        <v>141</v>
      </c>
      <c r="Q167" s="651" t="s">
        <v>780</v>
      </c>
      <c r="R167" s="651" t="s">
        <v>142</v>
      </c>
      <c r="S167" s="651"/>
    </row>
    <row r="168" spans="1:19">
      <c r="A168" s="649" t="s">
        <v>223</v>
      </c>
      <c r="B168" s="649" t="s">
        <v>2160</v>
      </c>
      <c r="C168" s="652">
        <v>576.78</v>
      </c>
      <c r="D168" s="650">
        <v>800</v>
      </c>
      <c r="E168" s="650">
        <v>0</v>
      </c>
      <c r="F168" s="649">
        <v>0</v>
      </c>
      <c r="G168" s="649">
        <v>223.22</v>
      </c>
      <c r="H168" s="649">
        <v>28</v>
      </c>
      <c r="I168" s="649" t="s">
        <v>1625</v>
      </c>
      <c r="J168" s="649"/>
      <c r="K168" s="649"/>
      <c r="L168" s="651" t="s">
        <v>2146</v>
      </c>
      <c r="M168" s="651"/>
      <c r="N168" s="651"/>
      <c r="O168" s="651"/>
      <c r="P168" s="651" t="s">
        <v>878</v>
      </c>
      <c r="Q168" s="651" t="s">
        <v>780</v>
      </c>
      <c r="R168" s="651" t="s">
        <v>879</v>
      </c>
      <c r="S168" s="651"/>
    </row>
    <row r="169" spans="1:19">
      <c r="A169" s="649" t="s">
        <v>224</v>
      </c>
      <c r="B169" s="649" t="s">
        <v>2160</v>
      </c>
      <c r="C169" s="652">
        <v>13808.23</v>
      </c>
      <c r="D169" s="650">
        <v>14000</v>
      </c>
      <c r="E169" s="650">
        <v>4865.93</v>
      </c>
      <c r="F169" s="649">
        <v>0</v>
      </c>
      <c r="G169" s="649">
        <v>191.77</v>
      </c>
      <c r="H169" s="649">
        <v>1</v>
      </c>
      <c r="I169" s="649" t="s">
        <v>1625</v>
      </c>
      <c r="J169" s="649"/>
      <c r="K169" s="649"/>
      <c r="L169" s="651" t="s">
        <v>2146</v>
      </c>
      <c r="M169" s="651"/>
      <c r="N169" s="651"/>
      <c r="O169" s="651"/>
      <c r="P169" s="651" t="s">
        <v>881</v>
      </c>
      <c r="Q169" s="651" t="s">
        <v>780</v>
      </c>
      <c r="R169" s="651" t="s">
        <v>882</v>
      </c>
      <c r="S169" s="651"/>
    </row>
    <row r="170" spans="1:19">
      <c r="A170" s="649" t="s">
        <v>225</v>
      </c>
      <c r="B170" s="649" t="s">
        <v>2160</v>
      </c>
      <c r="C170" s="652">
        <v>50798.7</v>
      </c>
      <c r="D170" s="650">
        <v>50800</v>
      </c>
      <c r="E170" s="650">
        <v>0</v>
      </c>
      <c r="F170" s="649">
        <v>0</v>
      </c>
      <c r="G170" s="649">
        <v>1.3</v>
      </c>
      <c r="H170" s="649">
        <v>0</v>
      </c>
      <c r="I170" s="649" t="s">
        <v>1625</v>
      </c>
      <c r="J170" s="649"/>
      <c r="K170" s="649"/>
      <c r="L170" s="651" t="s">
        <v>2146</v>
      </c>
      <c r="M170" s="651"/>
      <c r="N170" s="651"/>
      <c r="O170" s="651"/>
      <c r="P170" s="651" t="s">
        <v>63</v>
      </c>
      <c r="Q170" s="651" t="s">
        <v>780</v>
      </c>
      <c r="R170" s="651" t="s">
        <v>64</v>
      </c>
      <c r="S170" s="651"/>
    </row>
    <row r="171" spans="1:19">
      <c r="A171" s="649" t="s">
        <v>226</v>
      </c>
      <c r="B171" s="649" t="s">
        <v>2160</v>
      </c>
      <c r="C171" s="652">
        <v>0</v>
      </c>
      <c r="D171" s="650">
        <v>3000</v>
      </c>
      <c r="E171" s="650">
        <v>0</v>
      </c>
      <c r="F171" s="649">
        <v>0</v>
      </c>
      <c r="G171" s="649">
        <v>3000</v>
      </c>
      <c r="H171" s="649">
        <v>100</v>
      </c>
      <c r="I171" s="649" t="s">
        <v>1625</v>
      </c>
      <c r="J171" s="649"/>
      <c r="K171" s="649"/>
      <c r="L171" s="651" t="s">
        <v>2146</v>
      </c>
      <c r="M171" s="651"/>
      <c r="N171" s="651"/>
      <c r="O171" s="651"/>
      <c r="P171" s="651" t="s">
        <v>66</v>
      </c>
      <c r="Q171" s="651" t="s">
        <v>1074</v>
      </c>
      <c r="R171" s="651" t="s">
        <v>67</v>
      </c>
      <c r="S171" s="651"/>
    </row>
    <row r="172" spans="1:19">
      <c r="A172" s="649" t="s">
        <v>227</v>
      </c>
      <c r="B172" s="649" t="s">
        <v>2160</v>
      </c>
      <c r="C172" s="652">
        <v>408724.11</v>
      </c>
      <c r="D172" s="650">
        <v>410000</v>
      </c>
      <c r="E172" s="650">
        <v>165667.68</v>
      </c>
      <c r="F172" s="649">
        <v>0</v>
      </c>
      <c r="G172" s="649">
        <v>1275.8900000000001</v>
      </c>
      <c r="H172" s="649">
        <v>0</v>
      </c>
      <c r="I172" s="649" t="s">
        <v>1625</v>
      </c>
      <c r="J172" s="649">
        <f>SUM(C165:C173)</f>
        <v>527292.11</v>
      </c>
      <c r="K172" s="649"/>
      <c r="L172" s="651" t="s">
        <v>2146</v>
      </c>
      <c r="M172" s="651"/>
      <c r="N172" s="651"/>
      <c r="O172" s="651"/>
      <c r="P172" s="651" t="s">
        <v>214</v>
      </c>
      <c r="Q172" s="651" t="s">
        <v>2339</v>
      </c>
      <c r="R172" s="651"/>
      <c r="S172" s="651"/>
    </row>
    <row r="173" spans="1:19">
      <c r="A173" s="649" t="s">
        <v>228</v>
      </c>
      <c r="B173" s="649" t="s">
        <v>2160</v>
      </c>
      <c r="C173" s="652">
        <v>0</v>
      </c>
      <c r="D173" s="650">
        <v>0</v>
      </c>
      <c r="E173" s="650">
        <v>0</v>
      </c>
      <c r="F173" s="649">
        <v>0</v>
      </c>
      <c r="G173" s="649">
        <v>0</v>
      </c>
      <c r="H173" s="649">
        <v>0</v>
      </c>
      <c r="I173" s="649" t="s">
        <v>1625</v>
      </c>
      <c r="J173" s="649"/>
      <c r="K173" s="649"/>
      <c r="L173" s="651" t="s">
        <v>2146</v>
      </c>
      <c r="M173" s="651"/>
      <c r="N173" s="651"/>
      <c r="O173" s="651"/>
      <c r="P173" s="651" t="s">
        <v>229</v>
      </c>
      <c r="Q173" s="651" t="s">
        <v>230</v>
      </c>
      <c r="R173" s="651" t="s">
        <v>231</v>
      </c>
      <c r="S173" s="651"/>
    </row>
    <row r="174" spans="1:19">
      <c r="A174" s="649" t="s">
        <v>232</v>
      </c>
      <c r="B174" s="649" t="s">
        <v>2161</v>
      </c>
      <c r="C174" s="652">
        <v>-10960.29</v>
      </c>
      <c r="D174" s="650">
        <v>-6879</v>
      </c>
      <c r="E174" s="650">
        <v>-1308.02</v>
      </c>
      <c r="F174" s="649">
        <v>0</v>
      </c>
      <c r="G174" s="649">
        <v>4081.29</v>
      </c>
      <c r="H174" s="649">
        <v>-59</v>
      </c>
      <c r="I174" s="649" t="s">
        <v>773</v>
      </c>
      <c r="J174" s="649"/>
      <c r="K174" s="649">
        <f>+C174</f>
        <v>-10960.29</v>
      </c>
      <c r="L174" s="651" t="s">
        <v>563</v>
      </c>
      <c r="M174" s="651"/>
      <c r="N174" s="651"/>
      <c r="O174" s="651" t="s">
        <v>41</v>
      </c>
      <c r="P174" s="651" t="s">
        <v>874</v>
      </c>
      <c r="Q174" s="651" t="s">
        <v>3249</v>
      </c>
      <c r="R174" s="651"/>
      <c r="S174" s="651"/>
    </row>
    <row r="175" spans="1:19">
      <c r="A175" s="649" t="s">
        <v>233</v>
      </c>
      <c r="B175" s="649" t="s">
        <v>2161</v>
      </c>
      <c r="C175" s="652">
        <v>0</v>
      </c>
      <c r="D175" s="650">
        <v>0</v>
      </c>
      <c r="E175" s="650">
        <v>1009.72</v>
      </c>
      <c r="F175" s="649">
        <v>0</v>
      </c>
      <c r="G175" s="649">
        <v>0</v>
      </c>
      <c r="H175" s="649">
        <v>0</v>
      </c>
      <c r="I175" s="649" t="s">
        <v>773</v>
      </c>
      <c r="J175" s="649"/>
      <c r="K175" s="649"/>
      <c r="L175" s="651"/>
      <c r="M175" s="651"/>
      <c r="N175" s="651"/>
      <c r="O175" s="651"/>
      <c r="P175" s="651" t="s">
        <v>769</v>
      </c>
      <c r="Q175" s="651" t="s">
        <v>689</v>
      </c>
      <c r="R175" s="651"/>
      <c r="S175" s="651"/>
    </row>
    <row r="176" spans="1:19">
      <c r="A176" s="649" t="s">
        <v>234</v>
      </c>
      <c r="B176" s="649" t="s">
        <v>2161</v>
      </c>
      <c r="C176" s="652">
        <v>197965.68</v>
      </c>
      <c r="D176" s="650">
        <v>200697</v>
      </c>
      <c r="E176" s="650">
        <v>16450.39</v>
      </c>
      <c r="F176" s="649">
        <v>0</v>
      </c>
      <c r="G176" s="649">
        <v>2731.32</v>
      </c>
      <c r="H176" s="649">
        <v>1</v>
      </c>
      <c r="I176" s="649" t="s">
        <v>1625</v>
      </c>
      <c r="J176" s="649"/>
      <c r="K176" s="649"/>
      <c r="L176" s="651" t="s">
        <v>2140</v>
      </c>
      <c r="M176" s="651"/>
      <c r="N176" s="651"/>
      <c r="O176" s="651" t="s">
        <v>2180</v>
      </c>
      <c r="P176" s="651" t="s">
        <v>103</v>
      </c>
      <c r="Q176" s="651" t="s">
        <v>104</v>
      </c>
      <c r="R176" s="651" t="s">
        <v>1074</v>
      </c>
      <c r="S176" s="651" t="s">
        <v>105</v>
      </c>
    </row>
    <row r="177" spans="1:19">
      <c r="A177" s="649" t="s">
        <v>235</v>
      </c>
      <c r="B177" s="649" t="s">
        <v>2161</v>
      </c>
      <c r="C177" s="652">
        <v>16501.39</v>
      </c>
      <c r="D177" s="650">
        <v>16564</v>
      </c>
      <c r="E177" s="650">
        <v>0</v>
      </c>
      <c r="F177" s="649">
        <v>0</v>
      </c>
      <c r="G177" s="649">
        <v>62.61</v>
      </c>
      <c r="H177" s="649">
        <v>0</v>
      </c>
      <c r="I177" s="649" t="s">
        <v>1625</v>
      </c>
      <c r="J177" s="649"/>
      <c r="K177" s="649"/>
      <c r="L177" s="651" t="s">
        <v>2140</v>
      </c>
      <c r="M177" s="651"/>
      <c r="N177" s="651"/>
      <c r="O177" s="651" t="s">
        <v>2180</v>
      </c>
      <c r="P177" s="651" t="s">
        <v>77</v>
      </c>
      <c r="Q177" s="651" t="s">
        <v>110</v>
      </c>
      <c r="R177" s="651" t="s">
        <v>1074</v>
      </c>
      <c r="S177" s="651" t="s">
        <v>111</v>
      </c>
    </row>
    <row r="178" spans="1:19">
      <c r="A178" s="649" t="s">
        <v>236</v>
      </c>
      <c r="B178" s="649" t="s">
        <v>2161</v>
      </c>
      <c r="C178" s="652">
        <v>0</v>
      </c>
      <c r="D178" s="650">
        <v>0</v>
      </c>
      <c r="E178" s="650">
        <v>0</v>
      </c>
      <c r="F178" s="649">
        <v>0</v>
      </c>
      <c r="G178" s="649">
        <v>0</v>
      </c>
      <c r="H178" s="649">
        <v>0</v>
      </c>
      <c r="I178" s="649" t="s">
        <v>1625</v>
      </c>
      <c r="J178" s="649"/>
      <c r="K178" s="649"/>
      <c r="L178" s="651" t="s">
        <v>2140</v>
      </c>
      <c r="M178" s="651"/>
      <c r="N178" s="651"/>
      <c r="O178" s="651" t="s">
        <v>2180</v>
      </c>
      <c r="P178" s="651" t="s">
        <v>915</v>
      </c>
      <c r="Q178" s="651" t="s">
        <v>114</v>
      </c>
      <c r="R178" s="651" t="s">
        <v>1074</v>
      </c>
      <c r="S178" s="651" t="s">
        <v>115</v>
      </c>
    </row>
    <row r="179" spans="1:19">
      <c r="A179" s="649" t="s">
        <v>237</v>
      </c>
      <c r="B179" s="649" t="s">
        <v>2161</v>
      </c>
      <c r="C179" s="652">
        <v>0</v>
      </c>
      <c r="D179" s="650">
        <v>0</v>
      </c>
      <c r="E179" s="650">
        <v>0</v>
      </c>
      <c r="F179" s="649">
        <v>0</v>
      </c>
      <c r="G179" s="649">
        <v>0</v>
      </c>
      <c r="H179" s="649">
        <v>0</v>
      </c>
      <c r="I179" s="649" t="s">
        <v>1625</v>
      </c>
      <c r="J179" s="649"/>
      <c r="K179" s="649"/>
      <c r="L179" s="651" t="s">
        <v>2140</v>
      </c>
      <c r="M179" s="651"/>
      <c r="N179" s="651"/>
      <c r="O179" s="651" t="s">
        <v>1770</v>
      </c>
      <c r="P179" s="651" t="s">
        <v>1101</v>
      </c>
      <c r="Q179" s="651" t="s">
        <v>805</v>
      </c>
      <c r="R179" s="651"/>
      <c r="S179" s="651"/>
    </row>
    <row r="180" spans="1:19">
      <c r="A180" s="649" t="s">
        <v>238</v>
      </c>
      <c r="B180" s="649" t="s">
        <v>2161</v>
      </c>
      <c r="C180" s="652">
        <v>10641.6</v>
      </c>
      <c r="D180" s="650">
        <v>11000</v>
      </c>
      <c r="E180" s="650">
        <v>927.6</v>
      </c>
      <c r="F180" s="649">
        <v>0</v>
      </c>
      <c r="G180" s="649">
        <v>358.4</v>
      </c>
      <c r="H180" s="649">
        <v>3</v>
      </c>
      <c r="I180" s="649" t="s">
        <v>1625</v>
      </c>
      <c r="J180" s="649"/>
      <c r="K180" s="649"/>
      <c r="L180" s="651" t="s">
        <v>2140</v>
      </c>
      <c r="M180" s="651"/>
      <c r="N180" s="651"/>
      <c r="O180" s="651" t="s">
        <v>2178</v>
      </c>
      <c r="P180" s="651" t="s">
        <v>792</v>
      </c>
      <c r="Q180" s="651" t="s">
        <v>1074</v>
      </c>
      <c r="R180" s="651" t="s">
        <v>239</v>
      </c>
      <c r="S180" s="651"/>
    </row>
    <row r="181" spans="1:19">
      <c r="A181" s="649" t="s">
        <v>240</v>
      </c>
      <c r="B181" s="649" t="s">
        <v>2161</v>
      </c>
      <c r="C181" s="652">
        <v>42557.279999999999</v>
      </c>
      <c r="D181" s="650">
        <v>42700</v>
      </c>
      <c r="E181" s="650">
        <v>3546.44</v>
      </c>
      <c r="F181" s="649">
        <v>0</v>
      </c>
      <c r="G181" s="649">
        <v>142.72</v>
      </c>
      <c r="H181" s="649">
        <v>0</v>
      </c>
      <c r="I181" s="649" t="s">
        <v>1625</v>
      </c>
      <c r="J181" s="649"/>
      <c r="K181" s="649"/>
      <c r="L181" s="651" t="s">
        <v>2140</v>
      </c>
      <c r="M181" s="651"/>
      <c r="N181" s="651"/>
      <c r="O181" s="651" t="s">
        <v>2181</v>
      </c>
      <c r="P181" s="651" t="s">
        <v>816</v>
      </c>
      <c r="Q181" s="651" t="s">
        <v>1074</v>
      </c>
      <c r="R181" s="651" t="s">
        <v>124</v>
      </c>
      <c r="S181" s="651" t="s">
        <v>125</v>
      </c>
    </row>
    <row r="182" spans="1:19">
      <c r="A182" s="649" t="s">
        <v>241</v>
      </c>
      <c r="B182" s="649" t="s">
        <v>2161</v>
      </c>
      <c r="C182" s="652">
        <v>2139.98</v>
      </c>
      <c r="D182" s="650">
        <v>2200</v>
      </c>
      <c r="E182" s="650">
        <v>168.59</v>
      </c>
      <c r="F182" s="649">
        <v>0</v>
      </c>
      <c r="G182" s="649">
        <v>60.02</v>
      </c>
      <c r="H182" s="649">
        <v>3</v>
      </c>
      <c r="I182" s="649" t="s">
        <v>1625</v>
      </c>
      <c r="J182" s="649"/>
      <c r="K182" s="649"/>
      <c r="L182" s="651" t="s">
        <v>2140</v>
      </c>
      <c r="M182" s="651"/>
      <c r="N182" s="651"/>
      <c r="O182" s="651" t="s">
        <v>1827</v>
      </c>
      <c r="P182" s="651" t="s">
        <v>816</v>
      </c>
      <c r="Q182" s="651" t="s">
        <v>1074</v>
      </c>
      <c r="R182" s="651" t="s">
        <v>793</v>
      </c>
      <c r="S182" s="651"/>
    </row>
    <row r="183" spans="1:19">
      <c r="A183" s="649" t="s">
        <v>242</v>
      </c>
      <c r="B183" s="649" t="s">
        <v>2161</v>
      </c>
      <c r="C183" s="652">
        <v>1755.96</v>
      </c>
      <c r="D183" s="650">
        <v>2000</v>
      </c>
      <c r="E183" s="650">
        <v>146.33000000000001</v>
      </c>
      <c r="F183" s="649">
        <v>0</v>
      </c>
      <c r="G183" s="649">
        <v>244.04</v>
      </c>
      <c r="H183" s="649">
        <v>12</v>
      </c>
      <c r="I183" s="649" t="s">
        <v>1625</v>
      </c>
      <c r="J183" s="649"/>
      <c r="K183" s="649"/>
      <c r="L183" s="651" t="s">
        <v>2140</v>
      </c>
      <c r="M183" s="651"/>
      <c r="N183" s="651"/>
      <c r="O183" s="651" t="s">
        <v>2182</v>
      </c>
      <c r="P183" s="651" t="s">
        <v>816</v>
      </c>
      <c r="Q183" s="651" t="s">
        <v>1074</v>
      </c>
      <c r="R183" s="651" t="s">
        <v>128</v>
      </c>
      <c r="S183" s="651" t="s">
        <v>129</v>
      </c>
    </row>
    <row r="184" spans="1:19">
      <c r="A184" s="649" t="s">
        <v>243</v>
      </c>
      <c r="B184" s="649" t="s">
        <v>2161</v>
      </c>
      <c r="C184" s="652">
        <v>76.8</v>
      </c>
      <c r="D184" s="650">
        <v>80</v>
      </c>
      <c r="E184" s="650">
        <v>6.4</v>
      </c>
      <c r="F184" s="649">
        <v>0</v>
      </c>
      <c r="G184" s="649">
        <v>3.2</v>
      </c>
      <c r="H184" s="649">
        <v>4</v>
      </c>
      <c r="I184" s="649" t="s">
        <v>1625</v>
      </c>
      <c r="J184" s="649"/>
      <c r="K184" s="649"/>
      <c r="L184" s="651" t="s">
        <v>2140</v>
      </c>
      <c r="M184" s="651"/>
      <c r="N184" s="651"/>
      <c r="O184" s="651" t="s">
        <v>2180</v>
      </c>
      <c r="P184" s="651" t="s">
        <v>2486</v>
      </c>
      <c r="Q184" s="651" t="s">
        <v>1074</v>
      </c>
      <c r="R184" s="651" t="s">
        <v>802</v>
      </c>
      <c r="S184" s="651"/>
    </row>
    <row r="185" spans="1:19">
      <c r="A185" s="649" t="s">
        <v>244</v>
      </c>
      <c r="B185" s="649" t="s">
        <v>2161</v>
      </c>
      <c r="C185" s="652">
        <v>0</v>
      </c>
      <c r="D185" s="650">
        <v>61053</v>
      </c>
      <c r="E185" s="650">
        <v>0</v>
      </c>
      <c r="F185" s="649">
        <v>0</v>
      </c>
      <c r="G185" s="649">
        <v>61053</v>
      </c>
      <c r="H185" s="649">
        <v>100</v>
      </c>
      <c r="I185" s="649" t="s">
        <v>1625</v>
      </c>
      <c r="J185" s="649"/>
      <c r="K185" s="649"/>
      <c r="L185" s="651" t="s">
        <v>2142</v>
      </c>
      <c r="M185" s="651"/>
      <c r="N185" s="651"/>
      <c r="O185" s="651"/>
      <c r="P185" s="651" t="s">
        <v>819</v>
      </c>
      <c r="Q185" s="651" t="s">
        <v>132</v>
      </c>
      <c r="R185" s="651" t="s">
        <v>133</v>
      </c>
      <c r="S185" s="651"/>
    </row>
    <row r="186" spans="1:19">
      <c r="A186" s="649" t="s">
        <v>245</v>
      </c>
      <c r="B186" s="649" t="s">
        <v>2161</v>
      </c>
      <c r="C186" s="652">
        <v>0</v>
      </c>
      <c r="D186" s="650">
        <v>0</v>
      </c>
      <c r="E186" s="650">
        <v>0</v>
      </c>
      <c r="F186" s="649">
        <v>0</v>
      </c>
      <c r="G186" s="649">
        <v>0</v>
      </c>
      <c r="H186" s="649">
        <v>0</v>
      </c>
      <c r="I186" s="649" t="s">
        <v>1625</v>
      </c>
      <c r="J186" s="649"/>
      <c r="K186" s="649"/>
      <c r="L186" s="651" t="s">
        <v>2143</v>
      </c>
      <c r="M186" s="651"/>
      <c r="N186" s="651"/>
      <c r="O186" s="651"/>
      <c r="P186" s="651" t="s">
        <v>825</v>
      </c>
      <c r="Q186" s="651" t="s">
        <v>780</v>
      </c>
      <c r="R186" s="651" t="s">
        <v>826</v>
      </c>
      <c r="S186" s="651"/>
    </row>
    <row r="187" spans="1:19">
      <c r="A187" s="649" t="s">
        <v>246</v>
      </c>
      <c r="B187" s="649" t="s">
        <v>2161</v>
      </c>
      <c r="C187" s="652">
        <v>0</v>
      </c>
      <c r="D187" s="650">
        <v>0</v>
      </c>
      <c r="E187" s="650">
        <v>0</v>
      </c>
      <c r="F187" s="649">
        <v>0</v>
      </c>
      <c r="G187" s="649">
        <v>0</v>
      </c>
      <c r="H187" s="649">
        <v>0</v>
      </c>
      <c r="I187" s="649" t="s">
        <v>1625</v>
      </c>
      <c r="J187" s="649"/>
      <c r="K187" s="649"/>
      <c r="L187" s="651" t="s">
        <v>2146</v>
      </c>
      <c r="M187" s="651"/>
      <c r="N187" s="651"/>
      <c r="O187" s="651"/>
      <c r="P187" s="651" t="s">
        <v>849</v>
      </c>
      <c r="Q187" s="651" t="s">
        <v>780</v>
      </c>
      <c r="R187" s="651" t="s">
        <v>850</v>
      </c>
      <c r="S187" s="651"/>
    </row>
    <row r="188" spans="1:19">
      <c r="A188" s="649" t="s">
        <v>247</v>
      </c>
      <c r="B188" s="649" t="s">
        <v>2161</v>
      </c>
      <c r="C188" s="652">
        <v>59.95</v>
      </c>
      <c r="D188" s="650">
        <v>100</v>
      </c>
      <c r="E188" s="650">
        <v>0</v>
      </c>
      <c r="F188" s="649">
        <v>0</v>
      </c>
      <c r="G188" s="649">
        <v>40.049999999999997</v>
      </c>
      <c r="H188" s="649">
        <v>40</v>
      </c>
      <c r="I188" s="649" t="s">
        <v>1625</v>
      </c>
      <c r="J188" s="649"/>
      <c r="K188" s="649"/>
      <c r="L188" s="651" t="s">
        <v>2146</v>
      </c>
      <c r="M188" s="651"/>
      <c r="N188" s="651"/>
      <c r="O188" s="651"/>
      <c r="P188" s="651" t="s">
        <v>856</v>
      </c>
      <c r="Q188" s="651" t="s">
        <v>857</v>
      </c>
      <c r="R188" s="651"/>
      <c r="S188" s="651"/>
    </row>
    <row r="189" spans="1:19">
      <c r="A189" s="649" t="s">
        <v>248</v>
      </c>
      <c r="B189" s="649" t="s">
        <v>2161</v>
      </c>
      <c r="C189" s="652">
        <v>5135.29</v>
      </c>
      <c r="D189" s="650">
        <v>5200</v>
      </c>
      <c r="E189" s="650">
        <v>0</v>
      </c>
      <c r="F189" s="649">
        <v>0</v>
      </c>
      <c r="G189" s="649">
        <v>64.709999999999994</v>
      </c>
      <c r="H189" s="649">
        <v>1</v>
      </c>
      <c r="I189" s="649" t="s">
        <v>1625</v>
      </c>
      <c r="J189" s="649"/>
      <c r="K189" s="649"/>
      <c r="L189" s="651" t="s">
        <v>2146</v>
      </c>
      <c r="M189" s="651"/>
      <c r="N189" s="651"/>
      <c r="O189" s="651"/>
      <c r="P189" s="651" t="s">
        <v>3248</v>
      </c>
      <c r="Q189" s="651"/>
      <c r="R189" s="651"/>
      <c r="S189" s="651"/>
    </row>
    <row r="190" spans="1:19">
      <c r="A190" s="649" t="s">
        <v>249</v>
      </c>
      <c r="B190" s="649" t="s">
        <v>2161</v>
      </c>
      <c r="C190" s="652">
        <v>0</v>
      </c>
      <c r="D190" s="650">
        <v>0</v>
      </c>
      <c r="E190" s="650">
        <v>0</v>
      </c>
      <c r="F190" s="649">
        <v>0</v>
      </c>
      <c r="G190" s="649">
        <v>0</v>
      </c>
      <c r="H190" s="649">
        <v>0</v>
      </c>
      <c r="I190" s="649" t="s">
        <v>1625</v>
      </c>
      <c r="J190" s="649"/>
      <c r="K190" s="649"/>
      <c r="L190" s="651" t="s">
        <v>2146</v>
      </c>
      <c r="M190" s="651"/>
      <c r="N190" s="651"/>
      <c r="O190" s="651"/>
      <c r="P190" s="651" t="s">
        <v>3249</v>
      </c>
      <c r="Q190" s="651" t="s">
        <v>250</v>
      </c>
      <c r="R190" s="651" t="s">
        <v>251</v>
      </c>
      <c r="S190" s="651"/>
    </row>
    <row r="191" spans="1:19">
      <c r="A191" s="649" t="s">
        <v>252</v>
      </c>
      <c r="B191" s="649" t="s">
        <v>2161</v>
      </c>
      <c r="C191" s="652">
        <v>1140.06</v>
      </c>
      <c r="D191" s="650">
        <v>1200</v>
      </c>
      <c r="E191" s="650">
        <v>0</v>
      </c>
      <c r="F191" s="649">
        <v>0</v>
      </c>
      <c r="G191" s="649">
        <v>59.94</v>
      </c>
      <c r="H191" s="649">
        <v>5</v>
      </c>
      <c r="I191" s="649" t="s">
        <v>1625</v>
      </c>
      <c r="J191" s="649"/>
      <c r="K191" s="649"/>
      <c r="L191" s="651" t="s">
        <v>2146</v>
      </c>
      <c r="M191" s="651"/>
      <c r="N191" s="651"/>
      <c r="O191" s="651"/>
      <c r="P191" s="651" t="s">
        <v>253</v>
      </c>
      <c r="Q191" s="651" t="s">
        <v>780</v>
      </c>
      <c r="R191" s="651" t="s">
        <v>254</v>
      </c>
      <c r="S191" s="651"/>
    </row>
    <row r="192" spans="1:19">
      <c r="A192" s="649" t="s">
        <v>255</v>
      </c>
      <c r="B192" s="649" t="s">
        <v>2161</v>
      </c>
      <c r="C192" s="652">
        <v>0</v>
      </c>
      <c r="D192" s="650">
        <v>0</v>
      </c>
      <c r="E192" s="650">
        <v>0</v>
      </c>
      <c r="F192" s="649">
        <v>0</v>
      </c>
      <c r="G192" s="649">
        <v>0</v>
      </c>
      <c r="H192" s="649">
        <v>0</v>
      </c>
      <c r="I192" s="649" t="s">
        <v>1625</v>
      </c>
      <c r="J192" s="649"/>
      <c r="K192" s="649"/>
      <c r="L192" s="651" t="s">
        <v>2146</v>
      </c>
      <c r="M192" s="651"/>
      <c r="N192" s="651"/>
      <c r="O192" s="651"/>
      <c r="P192" s="651" t="s">
        <v>878</v>
      </c>
      <c r="Q192" s="651" t="s">
        <v>780</v>
      </c>
      <c r="R192" s="651" t="s">
        <v>879</v>
      </c>
      <c r="S192" s="651"/>
    </row>
    <row r="193" spans="1:19">
      <c r="A193" s="649" t="s">
        <v>256</v>
      </c>
      <c r="B193" s="649" t="s">
        <v>2161</v>
      </c>
      <c r="C193" s="652">
        <v>5952.23</v>
      </c>
      <c r="D193" s="650">
        <v>6000</v>
      </c>
      <c r="E193" s="650">
        <v>48.93</v>
      </c>
      <c r="F193" s="649">
        <v>0</v>
      </c>
      <c r="G193" s="649">
        <v>47.77</v>
      </c>
      <c r="H193" s="649">
        <v>1</v>
      </c>
      <c r="I193" s="649" t="s">
        <v>1625</v>
      </c>
      <c r="J193" s="649"/>
      <c r="K193" s="649"/>
      <c r="L193" s="651" t="s">
        <v>2146</v>
      </c>
      <c r="M193" s="651"/>
      <c r="N193" s="651"/>
      <c r="O193" s="651"/>
      <c r="P193" s="651" t="s">
        <v>881</v>
      </c>
      <c r="Q193" s="651" t="s">
        <v>780</v>
      </c>
      <c r="R193" s="651" t="s">
        <v>882</v>
      </c>
      <c r="S193" s="651"/>
    </row>
    <row r="194" spans="1:19">
      <c r="A194" s="649" t="s">
        <v>257</v>
      </c>
      <c r="B194" s="649" t="s">
        <v>2161</v>
      </c>
      <c r="C194" s="652">
        <v>1951</v>
      </c>
      <c r="D194" s="650">
        <v>2000</v>
      </c>
      <c r="E194" s="650">
        <v>1636.97</v>
      </c>
      <c r="F194" s="649">
        <v>0</v>
      </c>
      <c r="G194" s="649">
        <v>49</v>
      </c>
      <c r="H194" s="649">
        <v>2</v>
      </c>
      <c r="I194" s="649" t="s">
        <v>1625</v>
      </c>
      <c r="J194" s="649"/>
      <c r="K194" s="649"/>
      <c r="L194" s="651" t="s">
        <v>2146</v>
      </c>
      <c r="M194" s="651"/>
      <c r="N194" s="651"/>
      <c r="O194" s="651"/>
      <c r="P194" s="651" t="s">
        <v>63</v>
      </c>
      <c r="Q194" s="651" t="s">
        <v>780</v>
      </c>
      <c r="R194" s="651" t="s">
        <v>64</v>
      </c>
      <c r="S194" s="651"/>
    </row>
    <row r="195" spans="1:19">
      <c r="A195" s="649" t="s">
        <v>258</v>
      </c>
      <c r="B195" s="649" t="s">
        <v>2161</v>
      </c>
      <c r="C195" s="652">
        <v>0</v>
      </c>
      <c r="D195" s="650">
        <v>0</v>
      </c>
      <c r="E195" s="650">
        <v>0</v>
      </c>
      <c r="F195" s="649">
        <v>0</v>
      </c>
      <c r="G195" s="649">
        <v>0</v>
      </c>
      <c r="H195" s="649">
        <v>0</v>
      </c>
      <c r="I195" s="649" t="s">
        <v>1625</v>
      </c>
      <c r="J195" s="649"/>
      <c r="K195" s="649"/>
      <c r="L195" s="651" t="s">
        <v>2146</v>
      </c>
      <c r="M195" s="651"/>
      <c r="N195" s="651"/>
      <c r="O195" s="651"/>
      <c r="P195" s="651" t="s">
        <v>66</v>
      </c>
      <c r="Q195" s="651" t="s">
        <v>1074</v>
      </c>
      <c r="R195" s="651" t="s">
        <v>67</v>
      </c>
      <c r="S195" s="651"/>
    </row>
    <row r="196" spans="1:19">
      <c r="A196" s="649" t="s">
        <v>259</v>
      </c>
      <c r="B196" s="649" t="s">
        <v>2161</v>
      </c>
      <c r="C196" s="652">
        <v>0</v>
      </c>
      <c r="D196" s="650">
        <v>0</v>
      </c>
      <c r="E196" s="650">
        <v>0</v>
      </c>
      <c r="F196" s="649">
        <v>0</v>
      </c>
      <c r="G196" s="649">
        <v>0</v>
      </c>
      <c r="H196" s="649">
        <v>0</v>
      </c>
      <c r="I196" s="649" t="s">
        <v>1625</v>
      </c>
      <c r="J196" s="649"/>
      <c r="K196" s="649"/>
      <c r="L196" s="651" t="s">
        <v>2146</v>
      </c>
      <c r="M196" s="651"/>
      <c r="N196" s="651"/>
      <c r="O196" s="651"/>
      <c r="P196" s="651" t="s">
        <v>66</v>
      </c>
      <c r="Q196" s="651" t="s">
        <v>1074</v>
      </c>
      <c r="R196" s="651" t="s">
        <v>69</v>
      </c>
      <c r="S196" s="651"/>
    </row>
    <row r="197" spans="1:19">
      <c r="A197" s="649" t="s">
        <v>260</v>
      </c>
      <c r="B197" s="649" t="s">
        <v>2161</v>
      </c>
      <c r="C197" s="652">
        <v>0</v>
      </c>
      <c r="D197" s="650">
        <v>0</v>
      </c>
      <c r="E197" s="650">
        <v>0</v>
      </c>
      <c r="F197" s="649">
        <v>0</v>
      </c>
      <c r="G197" s="649">
        <v>0</v>
      </c>
      <c r="H197" s="649">
        <v>0</v>
      </c>
      <c r="I197" s="649" t="s">
        <v>1625</v>
      </c>
      <c r="J197" s="649"/>
      <c r="K197" s="649"/>
      <c r="L197" s="651" t="s">
        <v>2146</v>
      </c>
      <c r="M197" s="651"/>
      <c r="N197" s="651"/>
      <c r="O197" s="651" t="s">
        <v>2147</v>
      </c>
      <c r="P197" s="651" t="s">
        <v>261</v>
      </c>
      <c r="Q197" s="651" t="s">
        <v>262</v>
      </c>
      <c r="R197" s="651" t="s">
        <v>780</v>
      </c>
      <c r="S197" s="651" t="s">
        <v>263</v>
      </c>
    </row>
    <row r="198" spans="1:19">
      <c r="A198" s="649" t="s">
        <v>264</v>
      </c>
      <c r="B198" s="649" t="s">
        <v>2161</v>
      </c>
      <c r="C198" s="652">
        <v>0</v>
      </c>
      <c r="D198" s="650">
        <v>0</v>
      </c>
      <c r="E198" s="650">
        <v>0</v>
      </c>
      <c r="F198" s="649">
        <v>0</v>
      </c>
      <c r="G198" s="649">
        <v>0</v>
      </c>
      <c r="H198" s="649">
        <v>0</v>
      </c>
      <c r="I198" s="649" t="s">
        <v>1625</v>
      </c>
      <c r="J198" s="649">
        <f>SUM(C176:C198)</f>
        <v>285877.21999999997</v>
      </c>
      <c r="K198" s="649"/>
      <c r="L198" s="651" t="s">
        <v>2146</v>
      </c>
      <c r="M198" s="651"/>
      <c r="N198" s="651"/>
      <c r="O198" s="651" t="s">
        <v>2147</v>
      </c>
      <c r="P198" s="651" t="s">
        <v>3250</v>
      </c>
      <c r="Q198" s="651"/>
      <c r="R198" s="651"/>
      <c r="S198" s="651"/>
    </row>
    <row r="199" spans="1:19">
      <c r="A199" s="649" t="s">
        <v>265</v>
      </c>
      <c r="B199" s="649" t="s">
        <v>2162</v>
      </c>
      <c r="C199" s="652">
        <v>0</v>
      </c>
      <c r="D199" s="650">
        <v>0</v>
      </c>
      <c r="E199" s="650">
        <v>1162</v>
      </c>
      <c r="F199" s="649">
        <v>0</v>
      </c>
      <c r="G199" s="649">
        <v>0</v>
      </c>
      <c r="H199" s="649">
        <v>0</v>
      </c>
      <c r="I199" s="649" t="s">
        <v>773</v>
      </c>
      <c r="J199" s="649"/>
      <c r="K199" s="649"/>
      <c r="L199" s="651"/>
      <c r="M199" s="651"/>
      <c r="N199" s="651"/>
      <c r="O199" s="651"/>
      <c r="P199" s="651" t="s">
        <v>769</v>
      </c>
      <c r="Q199" s="651" t="s">
        <v>689</v>
      </c>
      <c r="R199" s="651"/>
      <c r="S199" s="651"/>
    </row>
    <row r="200" spans="1:19">
      <c r="A200" s="649" t="s">
        <v>266</v>
      </c>
      <c r="B200" s="649" t="s">
        <v>2162</v>
      </c>
      <c r="C200" s="652">
        <v>154400.28</v>
      </c>
      <c r="D200" s="650">
        <v>155000</v>
      </c>
      <c r="E200" s="650">
        <v>12758.94</v>
      </c>
      <c r="F200" s="649">
        <v>0</v>
      </c>
      <c r="G200" s="649">
        <v>599.72</v>
      </c>
      <c r="H200" s="649">
        <v>0</v>
      </c>
      <c r="I200" s="649" t="s">
        <v>1625</v>
      </c>
      <c r="J200" s="649"/>
      <c r="K200" s="649"/>
      <c r="L200" s="651" t="s">
        <v>2140</v>
      </c>
      <c r="M200" s="651"/>
      <c r="N200" s="651"/>
      <c r="O200" s="651" t="s">
        <v>2180</v>
      </c>
      <c r="P200" s="651" t="s">
        <v>103</v>
      </c>
      <c r="Q200" s="651" t="s">
        <v>104</v>
      </c>
      <c r="R200" s="651" t="s">
        <v>1074</v>
      </c>
      <c r="S200" s="651" t="s">
        <v>105</v>
      </c>
    </row>
    <row r="201" spans="1:19">
      <c r="A201" s="649" t="s">
        <v>267</v>
      </c>
      <c r="B201" s="649" t="s">
        <v>2162</v>
      </c>
      <c r="C201" s="652">
        <v>12758.94</v>
      </c>
      <c r="D201" s="650">
        <v>13000</v>
      </c>
      <c r="E201" s="650">
        <v>0</v>
      </c>
      <c r="F201" s="649">
        <v>0</v>
      </c>
      <c r="G201" s="649">
        <v>241.06</v>
      </c>
      <c r="H201" s="649">
        <v>2</v>
      </c>
      <c r="I201" s="649" t="s">
        <v>1625</v>
      </c>
      <c r="J201" s="649"/>
      <c r="K201" s="649"/>
      <c r="L201" s="651" t="s">
        <v>2140</v>
      </c>
      <c r="M201" s="651"/>
      <c r="N201" s="651"/>
      <c r="O201" s="651" t="s">
        <v>2180</v>
      </c>
      <c r="P201" s="651" t="s">
        <v>77</v>
      </c>
      <c r="Q201" s="651" t="s">
        <v>110</v>
      </c>
      <c r="R201" s="651" t="s">
        <v>1074</v>
      </c>
      <c r="S201" s="651" t="s">
        <v>111</v>
      </c>
    </row>
    <row r="202" spans="1:19">
      <c r="A202" s="649" t="s">
        <v>268</v>
      </c>
      <c r="B202" s="649" t="s">
        <v>2162</v>
      </c>
      <c r="C202" s="652">
        <v>8520.5</v>
      </c>
      <c r="D202" s="650">
        <v>9000</v>
      </c>
      <c r="E202" s="650">
        <v>0</v>
      </c>
      <c r="F202" s="649">
        <v>0</v>
      </c>
      <c r="G202" s="649">
        <v>479.5</v>
      </c>
      <c r="H202" s="649">
        <v>5</v>
      </c>
      <c r="I202" s="649" t="s">
        <v>1625</v>
      </c>
      <c r="J202" s="649"/>
      <c r="K202" s="649"/>
      <c r="L202" s="651" t="s">
        <v>2140</v>
      </c>
      <c r="M202" s="651"/>
      <c r="N202" s="651"/>
      <c r="O202" s="651" t="s">
        <v>2180</v>
      </c>
      <c r="P202" s="651" t="s">
        <v>713</v>
      </c>
      <c r="Q202" s="651" t="s">
        <v>3445</v>
      </c>
      <c r="R202" s="651" t="s">
        <v>1074</v>
      </c>
      <c r="S202" s="651"/>
    </row>
    <row r="203" spans="1:19">
      <c r="A203" s="649" t="s">
        <v>269</v>
      </c>
      <c r="B203" s="649" t="s">
        <v>2162</v>
      </c>
      <c r="C203" s="652">
        <v>0</v>
      </c>
      <c r="D203" s="650">
        <v>0</v>
      </c>
      <c r="E203" s="650">
        <v>0</v>
      </c>
      <c r="F203" s="649">
        <v>0</v>
      </c>
      <c r="G203" s="649">
        <v>0</v>
      </c>
      <c r="H203" s="649">
        <v>0</v>
      </c>
      <c r="I203" s="649" t="s">
        <v>1625</v>
      </c>
      <c r="J203" s="649"/>
      <c r="K203" s="649"/>
      <c r="L203" s="651" t="s">
        <v>2140</v>
      </c>
      <c r="M203" s="651"/>
      <c r="N203" s="651"/>
      <c r="O203" s="651" t="s">
        <v>1770</v>
      </c>
      <c r="P203" s="651" t="s">
        <v>1101</v>
      </c>
      <c r="Q203" s="651" t="s">
        <v>805</v>
      </c>
      <c r="R203" s="651"/>
      <c r="S203" s="651"/>
    </row>
    <row r="204" spans="1:19">
      <c r="A204" s="649" t="s">
        <v>270</v>
      </c>
      <c r="B204" s="649" t="s">
        <v>2162</v>
      </c>
      <c r="C204" s="652">
        <v>8956.7999999999993</v>
      </c>
      <c r="D204" s="650">
        <v>9000</v>
      </c>
      <c r="E204" s="650">
        <v>790.2</v>
      </c>
      <c r="F204" s="649">
        <v>0</v>
      </c>
      <c r="G204" s="649">
        <v>43.2</v>
      </c>
      <c r="H204" s="649">
        <v>0</v>
      </c>
      <c r="I204" s="649" t="s">
        <v>1625</v>
      </c>
      <c r="J204" s="649"/>
      <c r="K204" s="649"/>
      <c r="L204" s="651" t="s">
        <v>2140</v>
      </c>
      <c r="M204" s="651"/>
      <c r="N204" s="651"/>
      <c r="O204" s="651" t="s">
        <v>2178</v>
      </c>
      <c r="P204" s="651" t="s">
        <v>816</v>
      </c>
      <c r="Q204" s="651" t="s">
        <v>1074</v>
      </c>
      <c r="R204" s="651" t="s">
        <v>796</v>
      </c>
      <c r="S204" s="651" t="s">
        <v>797</v>
      </c>
    </row>
    <row r="205" spans="1:19">
      <c r="A205" s="649" t="s">
        <v>271</v>
      </c>
      <c r="B205" s="649" t="s">
        <v>2162</v>
      </c>
      <c r="C205" s="652">
        <v>33967.980000000003</v>
      </c>
      <c r="D205" s="650">
        <v>35000</v>
      </c>
      <c r="E205" s="650">
        <v>2806.96</v>
      </c>
      <c r="F205" s="649">
        <v>0</v>
      </c>
      <c r="G205" s="649">
        <v>1032.02</v>
      </c>
      <c r="H205" s="649">
        <v>3</v>
      </c>
      <c r="I205" s="649" t="s">
        <v>1625</v>
      </c>
      <c r="J205" s="649"/>
      <c r="K205" s="649"/>
      <c r="L205" s="651" t="s">
        <v>2140</v>
      </c>
      <c r="M205" s="651"/>
      <c r="N205" s="651"/>
      <c r="O205" s="651" t="s">
        <v>2181</v>
      </c>
      <c r="P205" s="651" t="s">
        <v>816</v>
      </c>
      <c r="Q205" s="651" t="s">
        <v>1074</v>
      </c>
      <c r="R205" s="651" t="s">
        <v>124</v>
      </c>
      <c r="S205" s="651" t="s">
        <v>125</v>
      </c>
    </row>
    <row r="206" spans="1:19">
      <c r="A206" s="649" t="s">
        <v>272</v>
      </c>
      <c r="B206" s="649" t="s">
        <v>2162</v>
      </c>
      <c r="C206" s="652">
        <v>1721.69</v>
      </c>
      <c r="D206" s="650">
        <v>1800</v>
      </c>
      <c r="E206" s="650">
        <v>122.32</v>
      </c>
      <c r="F206" s="649">
        <v>0</v>
      </c>
      <c r="G206" s="649">
        <v>78.31</v>
      </c>
      <c r="H206" s="649">
        <v>4</v>
      </c>
      <c r="I206" s="649" t="s">
        <v>1625</v>
      </c>
      <c r="J206" s="649"/>
      <c r="K206" s="649"/>
      <c r="L206" s="651" t="s">
        <v>2140</v>
      </c>
      <c r="M206" s="651"/>
      <c r="N206" s="651"/>
      <c r="O206" s="651" t="s">
        <v>1827</v>
      </c>
      <c r="P206" s="651" t="s">
        <v>816</v>
      </c>
      <c r="Q206" s="651" t="s">
        <v>1074</v>
      </c>
      <c r="R206" s="651" t="s">
        <v>793</v>
      </c>
      <c r="S206" s="651"/>
    </row>
    <row r="207" spans="1:19">
      <c r="A207" s="649" t="s">
        <v>273</v>
      </c>
      <c r="B207" s="649" t="s">
        <v>2162</v>
      </c>
      <c r="C207" s="652">
        <v>2285.4</v>
      </c>
      <c r="D207" s="650">
        <v>2300</v>
      </c>
      <c r="E207" s="650">
        <v>193.94</v>
      </c>
      <c r="F207" s="649">
        <v>0</v>
      </c>
      <c r="G207" s="649">
        <v>14.6</v>
      </c>
      <c r="H207" s="649">
        <v>1</v>
      </c>
      <c r="I207" s="649" t="s">
        <v>1625</v>
      </c>
      <c r="J207" s="649"/>
      <c r="K207" s="649"/>
      <c r="L207" s="651" t="s">
        <v>2140</v>
      </c>
      <c r="M207" s="651"/>
      <c r="N207" s="651"/>
      <c r="O207" s="651" t="s">
        <v>2182</v>
      </c>
      <c r="P207" s="651" t="s">
        <v>816</v>
      </c>
      <c r="Q207" s="651" t="s">
        <v>1074</v>
      </c>
      <c r="R207" s="651" t="s">
        <v>128</v>
      </c>
      <c r="S207" s="651" t="s">
        <v>129</v>
      </c>
    </row>
    <row r="208" spans="1:19">
      <c r="A208" s="649" t="s">
        <v>274</v>
      </c>
      <c r="B208" s="649" t="s">
        <v>2162</v>
      </c>
      <c r="C208" s="652">
        <v>76.8</v>
      </c>
      <c r="D208" s="650">
        <v>80</v>
      </c>
      <c r="E208" s="650">
        <v>6.4</v>
      </c>
      <c r="F208" s="649">
        <v>0</v>
      </c>
      <c r="G208" s="649">
        <v>3.2</v>
      </c>
      <c r="H208" s="649">
        <v>4</v>
      </c>
      <c r="I208" s="649" t="s">
        <v>1625</v>
      </c>
      <c r="J208" s="649"/>
      <c r="K208" s="649"/>
      <c r="L208" s="651" t="s">
        <v>2140</v>
      </c>
      <c r="M208" s="651"/>
      <c r="N208" s="651"/>
      <c r="O208" s="651" t="s">
        <v>2180</v>
      </c>
      <c r="P208" s="651" t="s">
        <v>2486</v>
      </c>
      <c r="Q208" s="651" t="s">
        <v>1074</v>
      </c>
      <c r="R208" s="651" t="s">
        <v>802</v>
      </c>
      <c r="S208" s="651"/>
    </row>
    <row r="209" spans="1:19">
      <c r="A209" s="649" t="s">
        <v>275</v>
      </c>
      <c r="B209" s="649" t="s">
        <v>2162</v>
      </c>
      <c r="C209" s="652">
        <v>0</v>
      </c>
      <c r="D209" s="650">
        <v>0</v>
      </c>
      <c r="E209" s="650">
        <v>0</v>
      </c>
      <c r="F209" s="649">
        <v>0</v>
      </c>
      <c r="G209" s="649">
        <v>0</v>
      </c>
      <c r="H209" s="649">
        <v>0</v>
      </c>
      <c r="I209" s="649" t="s">
        <v>1625</v>
      </c>
      <c r="J209" s="649"/>
      <c r="K209" s="649"/>
      <c r="L209" s="651" t="s">
        <v>2142</v>
      </c>
      <c r="M209" s="651"/>
      <c r="N209" s="651"/>
      <c r="O209" s="651"/>
      <c r="P209" s="651" t="s">
        <v>819</v>
      </c>
      <c r="Q209" s="651" t="s">
        <v>132</v>
      </c>
      <c r="R209" s="651" t="s">
        <v>133</v>
      </c>
      <c r="S209" s="651"/>
    </row>
    <row r="210" spans="1:19">
      <c r="A210" s="649" t="s">
        <v>276</v>
      </c>
      <c r="B210" s="649" t="s">
        <v>2162</v>
      </c>
      <c r="C210" s="652">
        <v>0</v>
      </c>
      <c r="D210" s="650">
        <v>0</v>
      </c>
      <c r="E210" s="650">
        <v>0</v>
      </c>
      <c r="F210" s="649">
        <v>0</v>
      </c>
      <c r="G210" s="649">
        <v>0</v>
      </c>
      <c r="H210" s="649">
        <v>0</v>
      </c>
      <c r="I210" s="649" t="s">
        <v>1625</v>
      </c>
      <c r="J210" s="649"/>
      <c r="K210" s="649"/>
      <c r="L210" s="651" t="s">
        <v>2143</v>
      </c>
      <c r="M210" s="651"/>
      <c r="N210" s="651"/>
      <c r="O210" s="651"/>
      <c r="P210" s="651" t="s">
        <v>3252</v>
      </c>
      <c r="Q210" s="651" t="s">
        <v>780</v>
      </c>
      <c r="R210" s="651" t="s">
        <v>218</v>
      </c>
      <c r="S210" s="651"/>
    </row>
    <row r="211" spans="1:19">
      <c r="A211" s="649" t="s">
        <v>277</v>
      </c>
      <c r="B211" s="649" t="s">
        <v>2162</v>
      </c>
      <c r="C211" s="652">
        <v>0</v>
      </c>
      <c r="D211" s="650">
        <v>0</v>
      </c>
      <c r="E211" s="650">
        <v>0</v>
      </c>
      <c r="F211" s="649">
        <v>0</v>
      </c>
      <c r="G211" s="649">
        <v>0</v>
      </c>
      <c r="H211" s="649">
        <v>0</v>
      </c>
      <c r="I211" s="649" t="s">
        <v>1625</v>
      </c>
      <c r="J211" s="649"/>
      <c r="K211" s="649"/>
      <c r="L211" s="651" t="s">
        <v>2143</v>
      </c>
      <c r="M211" s="651"/>
      <c r="N211" s="651"/>
      <c r="O211" s="651"/>
      <c r="P211" s="651" t="s">
        <v>750</v>
      </c>
      <c r="Q211" s="651" t="s">
        <v>137</v>
      </c>
      <c r="R211" s="651" t="s">
        <v>1074</v>
      </c>
      <c r="S211" s="651" t="s">
        <v>278</v>
      </c>
    </row>
    <row r="212" spans="1:19">
      <c r="A212" s="649" t="s">
        <v>279</v>
      </c>
      <c r="B212" s="649" t="s">
        <v>2162</v>
      </c>
      <c r="C212" s="652">
        <v>18</v>
      </c>
      <c r="D212" s="650">
        <v>5000</v>
      </c>
      <c r="E212" s="650">
        <v>0</v>
      </c>
      <c r="F212" s="649">
        <v>0</v>
      </c>
      <c r="G212" s="649">
        <v>4982</v>
      </c>
      <c r="H212" s="649">
        <v>100</v>
      </c>
      <c r="I212" s="649" t="s">
        <v>1625</v>
      </c>
      <c r="J212" s="649"/>
      <c r="K212" s="649"/>
      <c r="L212" s="651" t="s">
        <v>2146</v>
      </c>
      <c r="M212" s="651"/>
      <c r="N212" s="651"/>
      <c r="O212" s="651"/>
      <c r="P212" s="651" t="s">
        <v>849</v>
      </c>
      <c r="Q212" s="651" t="s">
        <v>780</v>
      </c>
      <c r="R212" s="651" t="s">
        <v>850</v>
      </c>
      <c r="S212" s="651"/>
    </row>
    <row r="213" spans="1:19">
      <c r="A213" s="649" t="s">
        <v>280</v>
      </c>
      <c r="B213" s="649" t="s">
        <v>2162</v>
      </c>
      <c r="C213" s="652">
        <v>2550</v>
      </c>
      <c r="D213" s="650">
        <v>3000</v>
      </c>
      <c r="E213" s="650">
        <v>0</v>
      </c>
      <c r="F213" s="649">
        <v>0</v>
      </c>
      <c r="G213" s="649">
        <v>450</v>
      </c>
      <c r="H213" s="649">
        <v>15</v>
      </c>
      <c r="I213" s="649" t="s">
        <v>1625</v>
      </c>
      <c r="J213" s="649"/>
      <c r="K213" s="649"/>
      <c r="L213" s="651" t="s">
        <v>2146</v>
      </c>
      <c r="M213" s="651"/>
      <c r="N213" s="651"/>
      <c r="O213" s="651"/>
      <c r="P213" s="651" t="s">
        <v>856</v>
      </c>
      <c r="Q213" s="651" t="s">
        <v>857</v>
      </c>
      <c r="R213" s="651"/>
      <c r="S213" s="651"/>
    </row>
    <row r="214" spans="1:19">
      <c r="A214" s="649" t="s">
        <v>281</v>
      </c>
      <c r="B214" s="649" t="s">
        <v>2162</v>
      </c>
      <c r="C214" s="652">
        <v>0</v>
      </c>
      <c r="D214" s="650">
        <v>0</v>
      </c>
      <c r="E214" s="650">
        <v>0</v>
      </c>
      <c r="F214" s="649">
        <v>0</v>
      </c>
      <c r="G214" s="649">
        <v>0</v>
      </c>
      <c r="H214" s="649">
        <v>0</v>
      </c>
      <c r="I214" s="649" t="s">
        <v>1625</v>
      </c>
      <c r="J214" s="649"/>
      <c r="K214" s="649"/>
      <c r="L214" s="651" t="s">
        <v>2146</v>
      </c>
      <c r="M214" s="651"/>
      <c r="N214" s="651"/>
      <c r="O214" s="651"/>
      <c r="P214" s="651" t="s">
        <v>878</v>
      </c>
      <c r="Q214" s="651" t="s">
        <v>780</v>
      </c>
      <c r="R214" s="651" t="s">
        <v>879</v>
      </c>
      <c r="S214" s="651"/>
    </row>
    <row r="215" spans="1:19">
      <c r="A215" s="649" t="s">
        <v>282</v>
      </c>
      <c r="B215" s="649" t="s">
        <v>2162</v>
      </c>
      <c r="C215" s="652">
        <v>767.13</v>
      </c>
      <c r="D215" s="650">
        <v>1000</v>
      </c>
      <c r="E215" s="650">
        <v>67.19</v>
      </c>
      <c r="F215" s="649">
        <v>0</v>
      </c>
      <c r="G215" s="649">
        <v>232.87</v>
      </c>
      <c r="H215" s="649">
        <v>23</v>
      </c>
      <c r="I215" s="649" t="s">
        <v>1625</v>
      </c>
      <c r="J215" s="649"/>
      <c r="K215" s="649"/>
      <c r="L215" s="651" t="s">
        <v>2146</v>
      </c>
      <c r="M215" s="651"/>
      <c r="N215" s="651"/>
      <c r="O215" s="651"/>
      <c r="P215" s="651" t="s">
        <v>881</v>
      </c>
      <c r="Q215" s="651" t="s">
        <v>780</v>
      </c>
      <c r="R215" s="651" t="s">
        <v>882</v>
      </c>
      <c r="S215" s="651"/>
    </row>
    <row r="216" spans="1:19">
      <c r="A216" s="649" t="s">
        <v>283</v>
      </c>
      <c r="B216" s="649" t="s">
        <v>2162</v>
      </c>
      <c r="C216" s="652">
        <v>97954.3</v>
      </c>
      <c r="D216" s="650">
        <v>98000</v>
      </c>
      <c r="E216" s="650">
        <v>0</v>
      </c>
      <c r="F216" s="649">
        <v>0</v>
      </c>
      <c r="G216" s="649">
        <v>45.7</v>
      </c>
      <c r="H216" s="649">
        <v>0</v>
      </c>
      <c r="I216" s="649" t="s">
        <v>1625</v>
      </c>
      <c r="J216" s="649"/>
      <c r="K216" s="649"/>
      <c r="L216" s="651" t="s">
        <v>2146</v>
      </c>
      <c r="M216" s="651"/>
      <c r="N216" s="651"/>
      <c r="O216" s="651"/>
      <c r="P216" s="651" t="s">
        <v>93</v>
      </c>
      <c r="Q216" s="651" t="s">
        <v>284</v>
      </c>
      <c r="R216" s="651"/>
      <c r="S216" s="651"/>
    </row>
    <row r="217" spans="1:19">
      <c r="A217" s="649" t="s">
        <v>285</v>
      </c>
      <c r="B217" s="649" t="s">
        <v>2162</v>
      </c>
      <c r="C217" s="652">
        <v>8532.26</v>
      </c>
      <c r="D217" s="650">
        <v>13500</v>
      </c>
      <c r="E217" s="650">
        <v>0</v>
      </c>
      <c r="F217" s="649">
        <v>0</v>
      </c>
      <c r="G217" s="649">
        <v>4967.74</v>
      </c>
      <c r="H217" s="649">
        <v>37</v>
      </c>
      <c r="I217" s="649" t="s">
        <v>1625</v>
      </c>
      <c r="J217" s="649"/>
      <c r="K217" s="649"/>
      <c r="L217" s="651" t="s">
        <v>2146</v>
      </c>
      <c r="M217" s="651"/>
      <c r="N217" s="651"/>
      <c r="O217" s="651"/>
      <c r="P217" s="651" t="s">
        <v>63</v>
      </c>
      <c r="Q217" s="651" t="s">
        <v>780</v>
      </c>
      <c r="R217" s="651" t="s">
        <v>64</v>
      </c>
      <c r="S217" s="651"/>
    </row>
    <row r="218" spans="1:19">
      <c r="A218" s="649" t="s">
        <v>286</v>
      </c>
      <c r="B218" s="649" t="s">
        <v>2162</v>
      </c>
      <c r="C218" s="652">
        <v>8382.4</v>
      </c>
      <c r="D218" s="650">
        <v>10000</v>
      </c>
      <c r="E218" s="650">
        <v>-558.4</v>
      </c>
      <c r="F218" s="649">
        <v>0</v>
      </c>
      <c r="G218" s="649">
        <v>1617.6</v>
      </c>
      <c r="H218" s="649">
        <v>16</v>
      </c>
      <c r="I218" s="649" t="s">
        <v>1625</v>
      </c>
      <c r="J218" s="649"/>
      <c r="K218" s="649"/>
      <c r="L218" s="651" t="s">
        <v>2146</v>
      </c>
      <c r="M218" s="651"/>
      <c r="N218" s="651"/>
      <c r="O218" s="651"/>
      <c r="P218" s="651" t="s">
        <v>66</v>
      </c>
      <c r="Q218" s="651" t="s">
        <v>1074</v>
      </c>
      <c r="R218" s="651" t="s">
        <v>67</v>
      </c>
      <c r="S218" s="651"/>
    </row>
    <row r="219" spans="1:19">
      <c r="A219" s="649" t="s">
        <v>287</v>
      </c>
      <c r="B219" s="649" t="s">
        <v>2162</v>
      </c>
      <c r="C219" s="652">
        <v>0</v>
      </c>
      <c r="D219" s="650">
        <v>0</v>
      </c>
      <c r="E219" s="650">
        <v>0</v>
      </c>
      <c r="F219" s="649">
        <v>0</v>
      </c>
      <c r="G219" s="649">
        <v>0</v>
      </c>
      <c r="H219" s="649">
        <v>0</v>
      </c>
      <c r="I219" s="649" t="s">
        <v>1625</v>
      </c>
      <c r="J219" s="649">
        <f>SUM(C200:C219)</f>
        <v>340892.48000000004</v>
      </c>
      <c r="K219" s="649"/>
      <c r="L219" s="651" t="s">
        <v>2146</v>
      </c>
      <c r="M219" s="651"/>
      <c r="N219" s="651"/>
      <c r="O219" s="651"/>
      <c r="P219" s="651" t="s">
        <v>66</v>
      </c>
      <c r="Q219" s="651" t="s">
        <v>1074</v>
      </c>
      <c r="R219" s="651" t="s">
        <v>69</v>
      </c>
      <c r="S219" s="651"/>
    </row>
    <row r="220" spans="1:19">
      <c r="A220" s="649" t="s">
        <v>288</v>
      </c>
      <c r="B220" s="649" t="s">
        <v>2163</v>
      </c>
      <c r="C220" s="652">
        <v>0</v>
      </c>
      <c r="D220" s="650">
        <v>0</v>
      </c>
      <c r="E220" s="650">
        <v>0</v>
      </c>
      <c r="F220" s="649">
        <v>0</v>
      </c>
      <c r="G220" s="649">
        <v>0</v>
      </c>
      <c r="H220" s="649">
        <v>0</v>
      </c>
      <c r="I220" s="649" t="s">
        <v>773</v>
      </c>
      <c r="J220" s="649"/>
      <c r="K220" s="649"/>
      <c r="L220" s="651"/>
      <c r="M220" s="651"/>
      <c r="N220" s="651"/>
      <c r="O220" s="651"/>
      <c r="P220" s="651" t="s">
        <v>289</v>
      </c>
      <c r="Q220" s="651" t="s">
        <v>290</v>
      </c>
      <c r="R220" s="651"/>
      <c r="S220" s="651"/>
    </row>
    <row r="221" spans="1:19" s="327" customFormat="1">
      <c r="A221" s="654" t="s">
        <v>291</v>
      </c>
      <c r="B221" s="654" t="s">
        <v>2163</v>
      </c>
      <c r="C221" s="655">
        <v>0</v>
      </c>
      <c r="D221" s="656">
        <v>0</v>
      </c>
      <c r="E221" s="656">
        <v>40706.74</v>
      </c>
      <c r="F221" s="654">
        <v>0</v>
      </c>
      <c r="G221" s="654">
        <v>0</v>
      </c>
      <c r="H221" s="654">
        <v>0</v>
      </c>
      <c r="I221" s="654" t="s">
        <v>773</v>
      </c>
      <c r="J221" s="654"/>
      <c r="K221" s="654"/>
      <c r="L221" s="653"/>
      <c r="M221" s="653"/>
      <c r="N221" s="653"/>
      <c r="O221" s="653"/>
      <c r="P221" s="653" t="s">
        <v>769</v>
      </c>
      <c r="Q221" s="653" t="s">
        <v>689</v>
      </c>
      <c r="R221" s="653"/>
      <c r="S221" s="653"/>
    </row>
    <row r="222" spans="1:19">
      <c r="A222" s="649" t="s">
        <v>292</v>
      </c>
      <c r="B222" s="649" t="s">
        <v>2163</v>
      </c>
      <c r="C222" s="652">
        <f>-552487.3+3442.8</f>
        <v>-549044.5</v>
      </c>
      <c r="D222" s="650">
        <v>0</v>
      </c>
      <c r="E222" s="650">
        <v>-794385.58</v>
      </c>
      <c r="F222" s="649">
        <v>0</v>
      </c>
      <c r="G222" s="649">
        <v>794385.58</v>
      </c>
      <c r="H222" s="649">
        <v>9999</v>
      </c>
      <c r="I222" s="649" t="s">
        <v>773</v>
      </c>
      <c r="J222" s="649"/>
      <c r="K222" s="649"/>
      <c r="L222" s="651" t="s">
        <v>29</v>
      </c>
      <c r="M222" s="651"/>
      <c r="N222" s="651"/>
      <c r="O222" s="651"/>
      <c r="P222" s="651" t="s">
        <v>293</v>
      </c>
      <c r="Q222" s="651" t="s">
        <v>294</v>
      </c>
      <c r="R222" s="651" t="s">
        <v>1074</v>
      </c>
      <c r="S222" s="651" t="s">
        <v>295</v>
      </c>
    </row>
    <row r="223" spans="1:19">
      <c r="A223" s="649" t="s">
        <v>296</v>
      </c>
      <c r="B223" s="649" t="s">
        <v>2163</v>
      </c>
      <c r="C223" s="652">
        <v>0</v>
      </c>
      <c r="D223" s="650">
        <v>0</v>
      </c>
      <c r="E223" s="650">
        <v>0</v>
      </c>
      <c r="F223" s="649">
        <v>0</v>
      </c>
      <c r="G223" s="649">
        <v>0</v>
      </c>
      <c r="H223" s="649">
        <v>0</v>
      </c>
      <c r="I223" s="649" t="s">
        <v>773</v>
      </c>
      <c r="J223" s="649"/>
      <c r="K223" s="649"/>
      <c r="L223" s="651"/>
      <c r="M223" s="651"/>
      <c r="N223" s="651"/>
      <c r="O223" s="651"/>
      <c r="P223" s="651" t="s">
        <v>3241</v>
      </c>
      <c r="Q223" s="651" t="s">
        <v>294</v>
      </c>
      <c r="R223" s="651" t="s">
        <v>1074</v>
      </c>
      <c r="S223" s="651"/>
    </row>
    <row r="224" spans="1:19">
      <c r="A224" s="649" t="s">
        <v>297</v>
      </c>
      <c r="B224" s="649" t="s">
        <v>2163</v>
      </c>
      <c r="C224" s="652">
        <f>-1044067.71-3442.8</f>
        <v>-1047510.51</v>
      </c>
      <c r="D224" s="650">
        <v>-931514</v>
      </c>
      <c r="E224" s="650">
        <v>-156808.47</v>
      </c>
      <c r="F224" s="649">
        <v>0</v>
      </c>
      <c r="G224" s="649">
        <v>112553.71</v>
      </c>
      <c r="H224" s="649">
        <v>-12</v>
      </c>
      <c r="I224" s="649" t="s">
        <v>773</v>
      </c>
      <c r="J224" s="649"/>
      <c r="K224" s="649"/>
      <c r="L224" s="651" t="s">
        <v>30</v>
      </c>
      <c r="M224" s="651"/>
      <c r="N224" s="651"/>
      <c r="O224" s="651"/>
      <c r="P224" s="651" t="s">
        <v>293</v>
      </c>
      <c r="Q224" s="651" t="s">
        <v>294</v>
      </c>
      <c r="R224" s="651"/>
      <c r="S224" s="651"/>
    </row>
    <row r="225" spans="1:19">
      <c r="A225" s="649" t="s">
        <v>298</v>
      </c>
      <c r="B225" s="649" t="s">
        <v>2163</v>
      </c>
      <c r="C225" s="652">
        <v>-25302.05</v>
      </c>
      <c r="D225" s="650">
        <v>-30020</v>
      </c>
      <c r="E225" s="650">
        <v>897.67</v>
      </c>
      <c r="F225" s="649">
        <v>0</v>
      </c>
      <c r="G225" s="649">
        <v>-4717.95</v>
      </c>
      <c r="H225" s="649">
        <v>16</v>
      </c>
      <c r="I225" s="649" t="s">
        <v>773</v>
      </c>
      <c r="J225" s="649"/>
      <c r="K225" s="649"/>
      <c r="L225" s="651" t="s">
        <v>31</v>
      </c>
      <c r="M225" s="651"/>
      <c r="N225" s="651"/>
      <c r="O225" s="651"/>
      <c r="P225" s="651" t="s">
        <v>254</v>
      </c>
      <c r="Q225" s="651" t="s">
        <v>1074</v>
      </c>
      <c r="R225" s="651" t="s">
        <v>299</v>
      </c>
      <c r="S225" s="651"/>
    </row>
    <row r="226" spans="1:19">
      <c r="A226" s="649" t="s">
        <v>300</v>
      </c>
      <c r="B226" s="649" t="s">
        <v>2163</v>
      </c>
      <c r="C226" s="652">
        <v>-10665512</v>
      </c>
      <c r="D226" s="650">
        <v>-10665000</v>
      </c>
      <c r="E226" s="650">
        <v>477000</v>
      </c>
      <c r="F226" s="649">
        <v>0</v>
      </c>
      <c r="G226" s="649">
        <v>512</v>
      </c>
      <c r="H226" s="649">
        <v>0</v>
      </c>
      <c r="I226" s="649" t="s">
        <v>773</v>
      </c>
      <c r="J226" s="649"/>
      <c r="K226" s="649">
        <f>SUM(C220:C226)</f>
        <v>-12287369.060000001</v>
      </c>
      <c r="L226" s="651" t="s">
        <v>32</v>
      </c>
      <c r="M226" s="651"/>
      <c r="N226" s="651"/>
      <c r="O226" s="651"/>
      <c r="P226" s="651" t="s">
        <v>301</v>
      </c>
      <c r="Q226" s="651" t="s">
        <v>289</v>
      </c>
      <c r="R226" s="651"/>
      <c r="S226" s="651"/>
    </row>
    <row r="227" spans="1:19">
      <c r="A227" s="649" t="s">
        <v>302</v>
      </c>
      <c r="B227" s="649" t="s">
        <v>2163</v>
      </c>
      <c r="C227" s="652">
        <v>1186517.93</v>
      </c>
      <c r="D227" s="650">
        <v>2500000</v>
      </c>
      <c r="E227" s="650">
        <v>-1092076.97</v>
      </c>
      <c r="F227" s="649">
        <v>0</v>
      </c>
      <c r="G227" s="649">
        <v>1313482.07</v>
      </c>
      <c r="H227" s="649">
        <v>53</v>
      </c>
      <c r="I227" s="649" t="s">
        <v>1625</v>
      </c>
      <c r="J227" s="649"/>
      <c r="K227" s="649"/>
      <c r="L227" s="651" t="s">
        <v>2140</v>
      </c>
      <c r="M227" s="651"/>
      <c r="N227" s="651"/>
      <c r="O227" s="651" t="s">
        <v>2180</v>
      </c>
      <c r="P227" s="651" t="s">
        <v>103</v>
      </c>
      <c r="Q227" s="651" t="s">
        <v>104</v>
      </c>
      <c r="R227" s="651" t="s">
        <v>1074</v>
      </c>
      <c r="S227" s="651" t="s">
        <v>105</v>
      </c>
    </row>
    <row r="228" spans="1:19">
      <c r="A228" s="649" t="s">
        <v>303</v>
      </c>
      <c r="B228" s="649" t="s">
        <v>2163</v>
      </c>
      <c r="C228" s="652">
        <v>113355.53</v>
      </c>
      <c r="D228" s="650">
        <v>114000</v>
      </c>
      <c r="E228" s="650">
        <v>30366.18</v>
      </c>
      <c r="F228" s="649">
        <v>0</v>
      </c>
      <c r="G228" s="649">
        <v>644.47</v>
      </c>
      <c r="H228" s="649">
        <v>1</v>
      </c>
      <c r="I228" s="649" t="s">
        <v>1625</v>
      </c>
      <c r="J228" s="649"/>
      <c r="K228" s="649"/>
      <c r="L228" s="651" t="s">
        <v>2140</v>
      </c>
      <c r="M228" s="651"/>
      <c r="N228" s="651"/>
      <c r="O228" s="651" t="s">
        <v>2180</v>
      </c>
      <c r="P228" s="651" t="s">
        <v>107</v>
      </c>
      <c r="Q228" s="651" t="s">
        <v>1074</v>
      </c>
      <c r="R228" s="651" t="s">
        <v>108</v>
      </c>
      <c r="S228" s="651"/>
    </row>
    <row r="229" spans="1:19">
      <c r="A229" s="649" t="s">
        <v>304</v>
      </c>
      <c r="B229" s="649" t="s">
        <v>2163</v>
      </c>
      <c r="C229" s="652">
        <v>654638.66</v>
      </c>
      <c r="D229" s="650">
        <v>212394</v>
      </c>
      <c r="E229" s="650">
        <v>22779.439999999999</v>
      </c>
      <c r="F229" s="649">
        <v>0</v>
      </c>
      <c r="G229" s="649">
        <v>7755.34</v>
      </c>
      <c r="H229" s="649">
        <v>4</v>
      </c>
      <c r="I229" s="649" t="s">
        <v>1625</v>
      </c>
      <c r="J229" s="649"/>
      <c r="K229" s="649"/>
      <c r="L229" s="651" t="s">
        <v>2140</v>
      </c>
      <c r="M229" s="651"/>
      <c r="N229" s="651"/>
      <c r="O229" s="651" t="s">
        <v>2180</v>
      </c>
      <c r="P229" s="651" t="s">
        <v>77</v>
      </c>
      <c r="Q229" s="651" t="s">
        <v>110</v>
      </c>
      <c r="R229" s="651" t="s">
        <v>1074</v>
      </c>
      <c r="S229" s="651" t="s">
        <v>111</v>
      </c>
    </row>
    <row r="230" spans="1:19">
      <c r="A230" s="649" t="s">
        <v>305</v>
      </c>
      <c r="B230" s="649" t="s">
        <v>2163</v>
      </c>
      <c r="C230" s="652">
        <v>159134.39999999999</v>
      </c>
      <c r="D230" s="650">
        <v>190000</v>
      </c>
      <c r="E230" s="650">
        <v>9832.67</v>
      </c>
      <c r="F230" s="649">
        <v>0</v>
      </c>
      <c r="G230" s="649">
        <v>30865.599999999999</v>
      </c>
      <c r="H230" s="649">
        <v>16</v>
      </c>
      <c r="I230" s="649" t="s">
        <v>1625</v>
      </c>
      <c r="J230" s="649"/>
      <c r="K230" s="649"/>
      <c r="L230" s="651" t="s">
        <v>2140</v>
      </c>
      <c r="M230" s="651"/>
      <c r="N230" s="651"/>
      <c r="O230" s="651" t="s">
        <v>2180</v>
      </c>
      <c r="P230" s="651" t="s">
        <v>713</v>
      </c>
      <c r="Q230" s="651" t="s">
        <v>3445</v>
      </c>
      <c r="R230" s="651" t="s">
        <v>1074</v>
      </c>
      <c r="S230" s="651"/>
    </row>
    <row r="231" spans="1:19">
      <c r="A231" s="649" t="s">
        <v>306</v>
      </c>
      <c r="B231" s="649" t="s">
        <v>2163</v>
      </c>
      <c r="C231" s="652">
        <v>0</v>
      </c>
      <c r="D231" s="650">
        <v>0</v>
      </c>
      <c r="E231" s="650">
        <v>0</v>
      </c>
      <c r="F231" s="649">
        <v>0</v>
      </c>
      <c r="G231" s="649">
        <v>0</v>
      </c>
      <c r="H231" s="649">
        <v>0</v>
      </c>
      <c r="I231" s="649" t="s">
        <v>1625</v>
      </c>
      <c r="J231" s="649"/>
      <c r="K231" s="649"/>
      <c r="L231" s="651" t="s">
        <v>2140</v>
      </c>
      <c r="M231" s="651"/>
      <c r="N231" s="651"/>
      <c r="O231" s="651" t="s">
        <v>2180</v>
      </c>
      <c r="P231" s="651" t="s">
        <v>915</v>
      </c>
      <c r="Q231" s="651" t="s">
        <v>114</v>
      </c>
      <c r="R231" s="651" t="s">
        <v>1074</v>
      </c>
      <c r="S231" s="651" t="s">
        <v>115</v>
      </c>
    </row>
    <row r="232" spans="1:19">
      <c r="A232" s="649" t="s">
        <v>307</v>
      </c>
      <c r="B232" s="649" t="s">
        <v>2163</v>
      </c>
      <c r="C232" s="652">
        <v>44380.95</v>
      </c>
      <c r="D232" s="650">
        <v>45000</v>
      </c>
      <c r="E232" s="650">
        <v>3602.35</v>
      </c>
      <c r="F232" s="649">
        <v>0</v>
      </c>
      <c r="G232" s="649">
        <v>619.04999999999995</v>
      </c>
      <c r="H232" s="649">
        <v>1</v>
      </c>
      <c r="I232" s="649" t="s">
        <v>1625</v>
      </c>
      <c r="J232" s="649"/>
      <c r="K232" s="649"/>
      <c r="L232" s="651" t="s">
        <v>2140</v>
      </c>
      <c r="M232" s="651"/>
      <c r="N232" s="651"/>
      <c r="O232" s="651" t="s">
        <v>1770</v>
      </c>
      <c r="P232" s="651" t="s">
        <v>1101</v>
      </c>
      <c r="Q232" s="651" t="s">
        <v>805</v>
      </c>
      <c r="R232" s="651"/>
      <c r="S232" s="651"/>
    </row>
    <row r="233" spans="1:19">
      <c r="A233" s="649" t="s">
        <v>308</v>
      </c>
      <c r="B233" s="649" t="s">
        <v>2163</v>
      </c>
      <c r="C233" s="652">
        <v>260960.68</v>
      </c>
      <c r="D233" s="650">
        <v>261600</v>
      </c>
      <c r="E233" s="650">
        <v>26690.400000000001</v>
      </c>
      <c r="F233" s="649">
        <v>0</v>
      </c>
      <c r="G233" s="649">
        <v>639.32000000000005</v>
      </c>
      <c r="H233" s="649">
        <v>0</v>
      </c>
      <c r="I233" s="649" t="s">
        <v>1625</v>
      </c>
      <c r="J233" s="649"/>
      <c r="K233" s="649"/>
      <c r="L233" s="651" t="s">
        <v>2140</v>
      </c>
      <c r="M233" s="651"/>
      <c r="N233" s="651"/>
      <c r="O233" s="651" t="s">
        <v>2180</v>
      </c>
      <c r="P233" s="651" t="s">
        <v>118</v>
      </c>
      <c r="Q233" s="651" t="s">
        <v>805</v>
      </c>
      <c r="R233" s="651"/>
      <c r="S233" s="651"/>
    </row>
    <row r="234" spans="1:19">
      <c r="A234" s="649" t="s">
        <v>309</v>
      </c>
      <c r="B234" s="649" t="s">
        <v>2163</v>
      </c>
      <c r="C234" s="652">
        <v>11023.61</v>
      </c>
      <c r="D234" s="650">
        <v>12000</v>
      </c>
      <c r="E234" s="650">
        <v>0</v>
      </c>
      <c r="F234" s="649">
        <v>0</v>
      </c>
      <c r="G234" s="649">
        <v>976.39</v>
      </c>
      <c r="H234" s="649">
        <v>8</v>
      </c>
      <c r="I234" s="649" t="s">
        <v>1625</v>
      </c>
      <c r="J234" s="649"/>
      <c r="K234" s="649"/>
      <c r="L234" s="651" t="s">
        <v>2140</v>
      </c>
      <c r="M234" s="651"/>
      <c r="N234" s="651"/>
      <c r="O234" s="651" t="s">
        <v>2180</v>
      </c>
      <c r="P234" s="651" t="s">
        <v>120</v>
      </c>
      <c r="Q234" s="651" t="s">
        <v>195</v>
      </c>
      <c r="R234" s="651"/>
      <c r="S234" s="651"/>
    </row>
    <row r="235" spans="1:19">
      <c r="A235" s="649" t="s">
        <v>310</v>
      </c>
      <c r="B235" s="649" t="s">
        <v>2163</v>
      </c>
      <c r="C235" s="652">
        <v>134936.4</v>
      </c>
      <c r="D235" s="650">
        <v>140000</v>
      </c>
      <c r="E235" s="650">
        <v>13122</v>
      </c>
      <c r="F235" s="649">
        <v>0</v>
      </c>
      <c r="G235" s="649">
        <v>5063.6000000000004</v>
      </c>
      <c r="H235" s="649">
        <v>4</v>
      </c>
      <c r="I235" s="649" t="s">
        <v>1625</v>
      </c>
      <c r="J235" s="649"/>
      <c r="K235" s="649"/>
      <c r="L235" s="651" t="s">
        <v>2140</v>
      </c>
      <c r="M235" s="651"/>
      <c r="N235" s="651"/>
      <c r="O235" s="651" t="s">
        <v>2178</v>
      </c>
      <c r="P235" s="651" t="s">
        <v>816</v>
      </c>
      <c r="Q235" s="651" t="s">
        <v>1074</v>
      </c>
      <c r="R235" s="651" t="s">
        <v>796</v>
      </c>
      <c r="S235" s="651" t="s">
        <v>797</v>
      </c>
    </row>
    <row r="236" spans="1:19">
      <c r="A236" s="649" t="s">
        <v>311</v>
      </c>
      <c r="B236" s="649" t="s">
        <v>2163</v>
      </c>
      <c r="C236" s="652">
        <v>469203.24</v>
      </c>
      <c r="D236" s="650">
        <v>469500</v>
      </c>
      <c r="E236" s="650">
        <v>42228.55</v>
      </c>
      <c r="F236" s="649">
        <v>0</v>
      </c>
      <c r="G236" s="649">
        <v>296.76</v>
      </c>
      <c r="H236" s="649">
        <v>0</v>
      </c>
      <c r="I236" s="649" t="s">
        <v>1625</v>
      </c>
      <c r="J236" s="649"/>
      <c r="K236" s="649"/>
      <c r="L236" s="651" t="s">
        <v>2140</v>
      </c>
      <c r="M236" s="651"/>
      <c r="N236" s="651"/>
      <c r="O236" s="651" t="s">
        <v>2181</v>
      </c>
      <c r="P236" s="651" t="s">
        <v>816</v>
      </c>
      <c r="Q236" s="651" t="s">
        <v>1074</v>
      </c>
      <c r="R236" s="651" t="s">
        <v>124</v>
      </c>
      <c r="S236" s="651" t="s">
        <v>125</v>
      </c>
    </row>
    <row r="237" spans="1:19">
      <c r="A237" s="649" t="s">
        <v>312</v>
      </c>
      <c r="B237" s="649" t="s">
        <v>2163</v>
      </c>
      <c r="C237" s="652">
        <v>25990.080000000002</v>
      </c>
      <c r="D237" s="650">
        <v>30000</v>
      </c>
      <c r="E237" s="650">
        <v>2376.0300000000002</v>
      </c>
      <c r="F237" s="649">
        <v>0</v>
      </c>
      <c r="G237" s="649">
        <v>4009.92</v>
      </c>
      <c r="H237" s="649">
        <v>13</v>
      </c>
      <c r="I237" s="649" t="s">
        <v>1625</v>
      </c>
      <c r="J237" s="649"/>
      <c r="K237" s="649"/>
      <c r="L237" s="651" t="s">
        <v>2140</v>
      </c>
      <c r="M237" s="651"/>
      <c r="N237" s="651"/>
      <c r="O237" s="651" t="s">
        <v>1827</v>
      </c>
      <c r="P237" s="651" t="s">
        <v>816</v>
      </c>
      <c r="Q237" s="651" t="s">
        <v>1074</v>
      </c>
      <c r="R237" s="651" t="s">
        <v>793</v>
      </c>
      <c r="S237" s="651"/>
    </row>
    <row r="238" spans="1:19">
      <c r="A238" s="649" t="s">
        <v>313</v>
      </c>
      <c r="B238" s="649" t="s">
        <v>2163</v>
      </c>
      <c r="C238" s="652">
        <v>28361.99</v>
      </c>
      <c r="D238" s="650">
        <v>32000</v>
      </c>
      <c r="E238" s="650">
        <v>2727.54</v>
      </c>
      <c r="F238" s="649">
        <v>0</v>
      </c>
      <c r="G238" s="649">
        <v>3638.01</v>
      </c>
      <c r="H238" s="649">
        <v>11</v>
      </c>
      <c r="I238" s="649" t="s">
        <v>1625</v>
      </c>
      <c r="J238" s="649"/>
      <c r="K238" s="649"/>
      <c r="L238" s="651" t="s">
        <v>2140</v>
      </c>
      <c r="M238" s="651"/>
      <c r="N238" s="651"/>
      <c r="O238" s="651" t="s">
        <v>2182</v>
      </c>
      <c r="P238" s="651" t="s">
        <v>816</v>
      </c>
      <c r="Q238" s="651" t="s">
        <v>1074</v>
      </c>
      <c r="R238" s="651" t="s">
        <v>128</v>
      </c>
      <c r="S238" s="651" t="s">
        <v>129</v>
      </c>
    </row>
    <row r="239" spans="1:19">
      <c r="A239" s="649" t="s">
        <v>314</v>
      </c>
      <c r="B239" s="649" t="s">
        <v>2163</v>
      </c>
      <c r="C239" s="652">
        <v>982.4</v>
      </c>
      <c r="D239" s="650">
        <v>1200</v>
      </c>
      <c r="E239" s="650">
        <v>83.2</v>
      </c>
      <c r="F239" s="649">
        <v>0</v>
      </c>
      <c r="G239" s="649">
        <v>217.6</v>
      </c>
      <c r="H239" s="649">
        <v>18</v>
      </c>
      <c r="I239" s="649" t="s">
        <v>1625</v>
      </c>
      <c r="J239" s="649"/>
      <c r="K239" s="649"/>
      <c r="L239" s="651" t="s">
        <v>2140</v>
      </c>
      <c r="M239" s="651"/>
      <c r="N239" s="651"/>
      <c r="O239" s="651" t="s">
        <v>2180</v>
      </c>
      <c r="P239" s="651" t="s">
        <v>2486</v>
      </c>
      <c r="Q239" s="651" t="s">
        <v>1074</v>
      </c>
      <c r="R239" s="651" t="s">
        <v>802</v>
      </c>
      <c r="S239" s="651"/>
    </row>
    <row r="240" spans="1:19" s="611" customFormat="1">
      <c r="A240" s="657" t="s">
        <v>315</v>
      </c>
      <c r="B240" s="657" t="s">
        <v>2163</v>
      </c>
      <c r="C240" s="658">
        <v>82519.28</v>
      </c>
      <c r="D240" s="659">
        <v>500000</v>
      </c>
      <c r="E240" s="659">
        <v>0</v>
      </c>
      <c r="F240" s="657">
        <v>0</v>
      </c>
      <c r="G240" s="657">
        <v>500000</v>
      </c>
      <c r="H240" s="657">
        <v>100</v>
      </c>
      <c r="I240" s="657" t="s">
        <v>1625</v>
      </c>
      <c r="J240" s="657"/>
      <c r="K240" s="657"/>
      <c r="L240" s="660" t="s">
        <v>2148</v>
      </c>
      <c r="M240" s="660"/>
      <c r="N240" s="660"/>
      <c r="O240" s="660"/>
      <c r="P240" s="660" t="s">
        <v>819</v>
      </c>
      <c r="Q240" s="660" t="s">
        <v>132</v>
      </c>
      <c r="R240" s="660" t="s">
        <v>316</v>
      </c>
      <c r="S240" s="660"/>
    </row>
    <row r="241" spans="1:19">
      <c r="A241" s="649" t="s">
        <v>317</v>
      </c>
      <c r="B241" s="649" t="s">
        <v>2163</v>
      </c>
      <c r="C241" s="658">
        <v>3528914.18</v>
      </c>
      <c r="D241" s="650">
        <v>78232</v>
      </c>
      <c r="E241" s="650">
        <v>0</v>
      </c>
      <c r="F241" s="649">
        <v>0</v>
      </c>
      <c r="G241" s="649">
        <v>78232</v>
      </c>
      <c r="H241" s="649">
        <v>100</v>
      </c>
      <c r="I241" s="649" t="s">
        <v>1625</v>
      </c>
      <c r="J241" s="649"/>
      <c r="K241" s="649"/>
      <c r="L241" s="651" t="s">
        <v>2142</v>
      </c>
      <c r="M241" s="651"/>
      <c r="N241" s="651"/>
      <c r="O241" s="651"/>
      <c r="P241" s="651" t="s">
        <v>819</v>
      </c>
      <c r="Q241" s="651" t="s">
        <v>132</v>
      </c>
      <c r="R241" s="651" t="s">
        <v>133</v>
      </c>
      <c r="S241" s="651"/>
    </row>
    <row r="242" spans="1:19">
      <c r="A242" s="649" t="s">
        <v>318</v>
      </c>
      <c r="B242" s="649" t="s">
        <v>2163</v>
      </c>
      <c r="C242" s="652">
        <v>478.86</v>
      </c>
      <c r="D242" s="650">
        <v>700</v>
      </c>
      <c r="E242" s="650">
        <v>0</v>
      </c>
      <c r="F242" s="649">
        <v>0</v>
      </c>
      <c r="G242" s="649">
        <v>221.14</v>
      </c>
      <c r="H242" s="649">
        <v>32</v>
      </c>
      <c r="I242" s="649" t="s">
        <v>1625</v>
      </c>
      <c r="J242" s="649"/>
      <c r="K242" s="649"/>
      <c r="L242" s="651" t="s">
        <v>2143</v>
      </c>
      <c r="M242" s="651"/>
      <c r="N242" s="651"/>
      <c r="O242" s="651"/>
      <c r="P242" s="651" t="s">
        <v>3252</v>
      </c>
      <c r="Q242" s="651" t="s">
        <v>231</v>
      </c>
      <c r="R242" s="651" t="s">
        <v>319</v>
      </c>
      <c r="S242" s="651"/>
    </row>
    <row r="243" spans="1:19">
      <c r="A243" s="649" t="s">
        <v>320</v>
      </c>
      <c r="B243" s="649" t="s">
        <v>2163</v>
      </c>
      <c r="C243" s="652">
        <v>0</v>
      </c>
      <c r="D243" s="650">
        <v>0</v>
      </c>
      <c r="E243" s="650">
        <v>0</v>
      </c>
      <c r="F243" s="649">
        <v>0</v>
      </c>
      <c r="G243" s="649">
        <v>0</v>
      </c>
      <c r="H243" s="649">
        <v>0</v>
      </c>
      <c r="I243" s="649" t="s">
        <v>1625</v>
      </c>
      <c r="J243" s="649"/>
      <c r="K243" s="649"/>
      <c r="L243" s="651" t="s">
        <v>2146</v>
      </c>
      <c r="M243" s="651"/>
      <c r="N243" s="651"/>
      <c r="O243" s="651"/>
      <c r="P243" s="651" t="s">
        <v>321</v>
      </c>
      <c r="Q243" s="651" t="s">
        <v>871</v>
      </c>
      <c r="R243" s="651"/>
      <c r="S243" s="651"/>
    </row>
    <row r="244" spans="1:19">
      <c r="A244" s="649" t="s">
        <v>322</v>
      </c>
      <c r="B244" s="649" t="s">
        <v>2163</v>
      </c>
      <c r="C244" s="652">
        <v>870002.64</v>
      </c>
      <c r="D244" s="650">
        <v>908000</v>
      </c>
      <c r="E244" s="650">
        <v>-208918.76</v>
      </c>
      <c r="F244" s="649">
        <v>0</v>
      </c>
      <c r="G244" s="649">
        <v>37997.360000000001</v>
      </c>
      <c r="H244" s="649">
        <v>4</v>
      </c>
      <c r="I244" s="649" t="s">
        <v>1625</v>
      </c>
      <c r="J244" s="649"/>
      <c r="K244" s="649"/>
      <c r="L244" s="651" t="s">
        <v>2146</v>
      </c>
      <c r="M244" s="651"/>
      <c r="N244" s="651"/>
      <c r="O244" s="651"/>
      <c r="P244" s="651" t="s">
        <v>828</v>
      </c>
      <c r="Q244" s="651" t="s">
        <v>321</v>
      </c>
      <c r="R244" s="651"/>
      <c r="S244" s="651"/>
    </row>
    <row r="245" spans="1:19">
      <c r="A245" s="649" t="s">
        <v>323</v>
      </c>
      <c r="B245" s="649" t="s">
        <v>2163</v>
      </c>
      <c r="C245" s="652">
        <v>445744.32</v>
      </c>
      <c r="D245" s="650">
        <v>320000</v>
      </c>
      <c r="E245" s="650">
        <v>-102979.97</v>
      </c>
      <c r="F245" s="649">
        <v>0</v>
      </c>
      <c r="G245" s="649">
        <v>734.87</v>
      </c>
      <c r="H245" s="649">
        <v>0</v>
      </c>
      <c r="I245" s="649" t="s">
        <v>1625</v>
      </c>
      <c r="J245" s="649"/>
      <c r="K245" s="649"/>
      <c r="L245" s="651" t="s">
        <v>2146</v>
      </c>
      <c r="M245" s="651"/>
      <c r="N245" s="651"/>
      <c r="O245" s="651"/>
      <c r="P245" s="651" t="s">
        <v>3426</v>
      </c>
      <c r="Q245" s="651" t="s">
        <v>324</v>
      </c>
      <c r="R245" s="651"/>
      <c r="S245" s="651"/>
    </row>
    <row r="246" spans="1:19">
      <c r="A246" s="649" t="s">
        <v>325</v>
      </c>
      <c r="B246" s="649" t="s">
        <v>2163</v>
      </c>
      <c r="C246" s="652">
        <v>92573.11</v>
      </c>
      <c r="D246" s="650">
        <v>93200</v>
      </c>
      <c r="E246" s="650">
        <v>85163.03</v>
      </c>
      <c r="F246" s="649">
        <v>0</v>
      </c>
      <c r="G246" s="649">
        <v>626.89</v>
      </c>
      <c r="H246" s="649">
        <v>1</v>
      </c>
      <c r="I246" s="649" t="s">
        <v>1625</v>
      </c>
      <c r="J246" s="649"/>
      <c r="K246" s="649"/>
      <c r="L246" s="651" t="s">
        <v>2146</v>
      </c>
      <c r="M246" s="651"/>
      <c r="N246" s="651"/>
      <c r="O246" s="651"/>
      <c r="P246" s="651" t="s">
        <v>849</v>
      </c>
      <c r="Q246" s="651" t="s">
        <v>780</v>
      </c>
      <c r="R246" s="651" t="s">
        <v>850</v>
      </c>
      <c r="S246" s="651"/>
    </row>
    <row r="247" spans="1:19">
      <c r="A247" s="649" t="s">
        <v>326</v>
      </c>
      <c r="B247" s="649" t="s">
        <v>2163</v>
      </c>
      <c r="C247" s="652">
        <v>122737</v>
      </c>
      <c r="D247" s="650">
        <v>123600</v>
      </c>
      <c r="E247" s="650">
        <v>122320</v>
      </c>
      <c r="F247" s="649">
        <v>0</v>
      </c>
      <c r="G247" s="649">
        <v>863</v>
      </c>
      <c r="H247" s="649">
        <v>1</v>
      </c>
      <c r="I247" s="649" t="s">
        <v>1625</v>
      </c>
      <c r="J247" s="649"/>
      <c r="K247" s="649"/>
      <c r="L247" s="651" t="s">
        <v>2146</v>
      </c>
      <c r="M247" s="651"/>
      <c r="N247" s="651"/>
      <c r="O247" s="651"/>
      <c r="P247" s="651" t="s">
        <v>141</v>
      </c>
      <c r="Q247" s="651" t="s">
        <v>780</v>
      </c>
      <c r="R247" s="651" t="s">
        <v>142</v>
      </c>
      <c r="S247" s="651"/>
    </row>
    <row r="248" spans="1:19">
      <c r="A248" s="649" t="s">
        <v>327</v>
      </c>
      <c r="B248" s="649" t="s">
        <v>2163</v>
      </c>
      <c r="C248" s="652">
        <v>353663.78</v>
      </c>
      <c r="D248" s="650">
        <v>354000</v>
      </c>
      <c r="E248" s="650">
        <v>41.19</v>
      </c>
      <c r="F248" s="649">
        <v>0</v>
      </c>
      <c r="G248" s="649">
        <v>336.22</v>
      </c>
      <c r="H248" s="649">
        <v>0</v>
      </c>
      <c r="I248" s="649" t="s">
        <v>1625</v>
      </c>
      <c r="J248" s="649"/>
      <c r="K248" s="649"/>
      <c r="L248" s="651" t="s">
        <v>2146</v>
      </c>
      <c r="M248" s="651"/>
      <c r="N248" s="651"/>
      <c r="O248" s="651"/>
      <c r="P248" s="651" t="s">
        <v>3248</v>
      </c>
      <c r="Q248" s="651"/>
      <c r="R248" s="651"/>
      <c r="S248" s="651"/>
    </row>
    <row r="249" spans="1:19">
      <c r="A249" s="649" t="s">
        <v>328</v>
      </c>
      <c r="B249" s="649" t="s">
        <v>2163</v>
      </c>
      <c r="C249" s="652">
        <v>6881.66</v>
      </c>
      <c r="D249" s="650">
        <v>15000</v>
      </c>
      <c r="E249" s="650">
        <v>0</v>
      </c>
      <c r="F249" s="649">
        <v>0</v>
      </c>
      <c r="G249" s="649">
        <v>5310.25</v>
      </c>
      <c r="H249" s="649">
        <v>35</v>
      </c>
      <c r="I249" s="649" t="s">
        <v>1625</v>
      </c>
      <c r="J249" s="649"/>
      <c r="K249" s="649"/>
      <c r="L249" s="651" t="s">
        <v>26</v>
      </c>
      <c r="M249" s="651"/>
      <c r="N249" s="651"/>
      <c r="O249" s="651"/>
      <c r="P249" s="651" t="s">
        <v>2280</v>
      </c>
      <c r="Q249" s="651" t="s">
        <v>871</v>
      </c>
      <c r="R249" s="651"/>
      <c r="S249" s="651"/>
    </row>
    <row r="250" spans="1:19">
      <c r="A250" s="649" t="s">
        <v>329</v>
      </c>
      <c r="B250" s="649" t="s">
        <v>2163</v>
      </c>
      <c r="C250" s="652">
        <v>0</v>
      </c>
      <c r="D250" s="650">
        <v>0</v>
      </c>
      <c r="E250" s="650">
        <v>0</v>
      </c>
      <c r="F250" s="649">
        <v>0</v>
      </c>
      <c r="G250" s="649">
        <v>0</v>
      </c>
      <c r="H250" s="649">
        <v>0</v>
      </c>
      <c r="I250" s="649" t="s">
        <v>1625</v>
      </c>
      <c r="J250" s="649"/>
      <c r="K250" s="649"/>
      <c r="L250" s="651" t="s">
        <v>2146</v>
      </c>
      <c r="M250" s="651"/>
      <c r="N250" s="651"/>
      <c r="O250" s="651"/>
      <c r="P250" s="651" t="s">
        <v>867</v>
      </c>
      <c r="Q250" s="651" t="s">
        <v>780</v>
      </c>
      <c r="R250" s="651" t="s">
        <v>868</v>
      </c>
      <c r="S250" s="651"/>
    </row>
    <row r="251" spans="1:19">
      <c r="A251" s="649" t="s">
        <v>330</v>
      </c>
      <c r="B251" s="649" t="s">
        <v>2163</v>
      </c>
      <c r="C251" s="652">
        <v>91601.62</v>
      </c>
      <c r="D251" s="650">
        <v>100000</v>
      </c>
      <c r="E251" s="650">
        <v>8077.15</v>
      </c>
      <c r="F251" s="649">
        <v>0</v>
      </c>
      <c r="G251" s="649">
        <v>8398.3799999999992</v>
      </c>
      <c r="H251" s="649">
        <v>8</v>
      </c>
      <c r="I251" s="649" t="s">
        <v>1625</v>
      </c>
      <c r="J251" s="649"/>
      <c r="K251" s="649"/>
      <c r="L251" s="651" t="s">
        <v>2146</v>
      </c>
      <c r="M251" s="651"/>
      <c r="N251" s="651"/>
      <c r="O251" s="651"/>
      <c r="P251" s="651" t="s">
        <v>878</v>
      </c>
      <c r="Q251" s="651" t="s">
        <v>780</v>
      </c>
      <c r="R251" s="651" t="s">
        <v>879</v>
      </c>
      <c r="S251" s="651"/>
    </row>
    <row r="252" spans="1:19">
      <c r="A252" s="649" t="s">
        <v>331</v>
      </c>
      <c r="B252" s="649" t="s">
        <v>2163</v>
      </c>
      <c r="C252" s="652">
        <v>628505.38</v>
      </c>
      <c r="D252" s="650">
        <v>630000</v>
      </c>
      <c r="E252" s="650">
        <v>483360.21</v>
      </c>
      <c r="F252" s="649">
        <v>0</v>
      </c>
      <c r="G252" s="649">
        <v>1494.62</v>
      </c>
      <c r="H252" s="649">
        <v>0</v>
      </c>
      <c r="I252" s="649" t="s">
        <v>1625</v>
      </c>
      <c r="J252" s="649"/>
      <c r="K252" s="649"/>
      <c r="L252" s="651" t="s">
        <v>2146</v>
      </c>
      <c r="M252" s="651"/>
      <c r="N252" s="651"/>
      <c r="O252" s="651"/>
      <c r="P252" s="651" t="s">
        <v>881</v>
      </c>
      <c r="Q252" s="651" t="s">
        <v>780</v>
      </c>
      <c r="R252" s="651" t="s">
        <v>882</v>
      </c>
      <c r="S252" s="651"/>
    </row>
    <row r="253" spans="1:19">
      <c r="A253" s="649" t="s">
        <v>332</v>
      </c>
      <c r="B253" s="649" t="s">
        <v>2163</v>
      </c>
      <c r="C253" s="652">
        <v>807.46</v>
      </c>
      <c r="D253" s="650">
        <v>850</v>
      </c>
      <c r="E253" s="650">
        <v>595.12</v>
      </c>
      <c r="F253" s="649">
        <v>0</v>
      </c>
      <c r="G253" s="649">
        <v>42.54</v>
      </c>
      <c r="H253" s="649">
        <v>5</v>
      </c>
      <c r="I253" s="649" t="s">
        <v>1625</v>
      </c>
      <c r="J253" s="649"/>
      <c r="K253" s="649"/>
      <c r="L253" s="651" t="s">
        <v>2146</v>
      </c>
      <c r="M253" s="651"/>
      <c r="N253" s="651"/>
      <c r="O253" s="651"/>
      <c r="P253" s="651" t="s">
        <v>333</v>
      </c>
      <c r="Q253" s="651" t="s">
        <v>334</v>
      </c>
      <c r="R253" s="651"/>
      <c r="S253" s="651"/>
    </row>
    <row r="254" spans="1:19">
      <c r="A254" s="649" t="s">
        <v>335</v>
      </c>
      <c r="B254" s="649" t="s">
        <v>2163</v>
      </c>
      <c r="C254" s="652">
        <v>0</v>
      </c>
      <c r="D254" s="650">
        <v>0</v>
      </c>
      <c r="E254" s="650">
        <v>0</v>
      </c>
      <c r="F254" s="649">
        <v>0</v>
      </c>
      <c r="G254" s="649">
        <v>0</v>
      </c>
      <c r="H254" s="649">
        <v>0</v>
      </c>
      <c r="I254" s="649" t="s">
        <v>1625</v>
      </c>
      <c r="J254" s="649"/>
      <c r="K254" s="649"/>
      <c r="L254" s="651" t="s">
        <v>2146</v>
      </c>
      <c r="M254" s="651"/>
      <c r="N254" s="651"/>
      <c r="O254" s="651"/>
      <c r="P254" s="651" t="s">
        <v>336</v>
      </c>
      <c r="Q254" s="651" t="s">
        <v>658</v>
      </c>
      <c r="R254" s="651"/>
      <c r="S254" s="651"/>
    </row>
    <row r="255" spans="1:19">
      <c r="A255" s="649" t="s">
        <v>337</v>
      </c>
      <c r="B255" s="649" t="s">
        <v>2163</v>
      </c>
      <c r="C255" s="652">
        <v>48315.7</v>
      </c>
      <c r="D255" s="650">
        <v>51000</v>
      </c>
      <c r="E255" s="650">
        <v>12647.55</v>
      </c>
      <c r="F255" s="649">
        <v>0</v>
      </c>
      <c r="G255" s="649">
        <v>53.23</v>
      </c>
      <c r="H255" s="649">
        <v>0</v>
      </c>
      <c r="I255" s="649" t="s">
        <v>1625</v>
      </c>
      <c r="J255" s="649"/>
      <c r="K255" s="649"/>
      <c r="L255" s="651" t="s">
        <v>2146</v>
      </c>
      <c r="M255" s="651"/>
      <c r="N255" s="651"/>
      <c r="O255" s="651"/>
      <c r="P255" s="651" t="s">
        <v>3251</v>
      </c>
      <c r="Q255" s="651"/>
      <c r="R255" s="651"/>
      <c r="S255" s="651"/>
    </row>
    <row r="256" spans="1:19">
      <c r="A256" s="649" t="s">
        <v>338</v>
      </c>
      <c r="B256" s="649" t="s">
        <v>2163</v>
      </c>
      <c r="C256" s="652">
        <v>211415.76</v>
      </c>
      <c r="D256" s="650">
        <v>212000</v>
      </c>
      <c r="E256" s="650">
        <v>18503.8</v>
      </c>
      <c r="F256" s="649">
        <v>0</v>
      </c>
      <c r="G256" s="649">
        <v>584.24</v>
      </c>
      <c r="H256" s="649">
        <v>0</v>
      </c>
      <c r="I256" s="649" t="s">
        <v>1625</v>
      </c>
      <c r="J256" s="649"/>
      <c r="K256" s="649"/>
      <c r="L256" s="651" t="s">
        <v>2146</v>
      </c>
      <c r="M256" s="651"/>
      <c r="N256" s="651"/>
      <c r="O256" s="651"/>
      <c r="P256" s="651" t="s">
        <v>63</v>
      </c>
      <c r="Q256" s="651" t="s">
        <v>780</v>
      </c>
      <c r="R256" s="651" t="s">
        <v>64</v>
      </c>
      <c r="S256" s="651"/>
    </row>
    <row r="257" spans="1:19">
      <c r="A257" s="649" t="s">
        <v>339</v>
      </c>
      <c r="B257" s="649" t="s">
        <v>2163</v>
      </c>
      <c r="C257" s="652">
        <v>2921.51</v>
      </c>
      <c r="D257" s="650">
        <v>4000</v>
      </c>
      <c r="E257" s="650">
        <v>-753.22</v>
      </c>
      <c r="F257" s="649">
        <v>0</v>
      </c>
      <c r="G257" s="649">
        <v>1078.49</v>
      </c>
      <c r="H257" s="649">
        <v>27</v>
      </c>
      <c r="I257" s="649" t="s">
        <v>1625</v>
      </c>
      <c r="J257" s="649"/>
      <c r="K257" s="649"/>
      <c r="L257" s="651" t="s">
        <v>2146</v>
      </c>
      <c r="M257" s="651"/>
      <c r="N257" s="651"/>
      <c r="O257" s="651"/>
      <c r="P257" s="651" t="s">
        <v>66</v>
      </c>
      <c r="Q257" s="651" t="s">
        <v>1074</v>
      </c>
      <c r="R257" s="651" t="s">
        <v>67</v>
      </c>
      <c r="S257" s="651"/>
    </row>
    <row r="258" spans="1:19">
      <c r="A258" s="649" t="s">
        <v>340</v>
      </c>
      <c r="B258" s="649" t="s">
        <v>2163</v>
      </c>
      <c r="C258" s="652">
        <v>32892.71</v>
      </c>
      <c r="D258" s="650">
        <v>35000</v>
      </c>
      <c r="E258" s="650">
        <v>2507.33</v>
      </c>
      <c r="F258" s="649">
        <v>0</v>
      </c>
      <c r="G258" s="649">
        <v>2107.29</v>
      </c>
      <c r="H258" s="649">
        <v>6</v>
      </c>
      <c r="I258" s="649" t="s">
        <v>1625</v>
      </c>
      <c r="J258" s="649"/>
      <c r="K258" s="649"/>
      <c r="L258" s="651" t="s">
        <v>2146</v>
      </c>
      <c r="M258" s="651"/>
      <c r="N258" s="651"/>
      <c r="O258" s="651"/>
      <c r="P258" s="651" t="s">
        <v>66</v>
      </c>
      <c r="Q258" s="651" t="s">
        <v>1074</v>
      </c>
      <c r="R258" s="651" t="s">
        <v>69</v>
      </c>
      <c r="S258" s="651"/>
    </row>
    <row r="259" spans="1:19">
      <c r="A259" s="649" t="s">
        <v>341</v>
      </c>
      <c r="B259" s="649" t="s">
        <v>2163</v>
      </c>
      <c r="C259" s="652">
        <v>1547675.29</v>
      </c>
      <c r="D259" s="650">
        <v>1557600</v>
      </c>
      <c r="E259" s="650">
        <v>54277.85</v>
      </c>
      <c r="F259" s="649">
        <v>0</v>
      </c>
      <c r="G259" s="649">
        <v>9924.7099999999991</v>
      </c>
      <c r="H259" s="649">
        <v>1</v>
      </c>
      <c r="I259" s="649" t="s">
        <v>1625</v>
      </c>
      <c r="J259" s="649"/>
      <c r="K259" s="649"/>
      <c r="L259" s="651" t="s">
        <v>2146</v>
      </c>
      <c r="M259" s="651"/>
      <c r="N259" s="651"/>
      <c r="O259" s="651"/>
      <c r="P259" s="651" t="s">
        <v>342</v>
      </c>
      <c r="Q259" s="651" t="s">
        <v>343</v>
      </c>
      <c r="R259" s="651"/>
      <c r="S259" s="651"/>
    </row>
    <row r="260" spans="1:19">
      <c r="A260" s="649" t="s">
        <v>344</v>
      </c>
      <c r="B260" s="649" t="s">
        <v>2163</v>
      </c>
      <c r="C260" s="652">
        <v>206265.08</v>
      </c>
      <c r="D260" s="650">
        <v>210000</v>
      </c>
      <c r="E260" s="650">
        <v>0</v>
      </c>
      <c r="F260" s="649">
        <v>0</v>
      </c>
      <c r="G260" s="649">
        <v>3734.92</v>
      </c>
      <c r="H260" s="649">
        <v>2</v>
      </c>
      <c r="I260" s="649" t="s">
        <v>1625</v>
      </c>
      <c r="J260" s="649"/>
      <c r="K260" s="649"/>
      <c r="L260" s="651" t="s">
        <v>2146</v>
      </c>
      <c r="M260" s="651"/>
      <c r="N260" s="651"/>
      <c r="O260" s="651"/>
      <c r="P260" s="651" t="s">
        <v>345</v>
      </c>
      <c r="Q260" s="651" t="s">
        <v>1609</v>
      </c>
      <c r="R260" s="651" t="s">
        <v>1074</v>
      </c>
      <c r="S260" s="651"/>
    </row>
    <row r="261" spans="1:19">
      <c r="A261" s="649" t="s">
        <v>346</v>
      </c>
      <c r="B261" s="649" t="s">
        <v>2163</v>
      </c>
      <c r="C261" s="652">
        <v>0</v>
      </c>
      <c r="D261" s="650">
        <v>0</v>
      </c>
      <c r="E261" s="650">
        <v>0</v>
      </c>
      <c r="F261" s="649">
        <v>0</v>
      </c>
      <c r="G261" s="649">
        <v>0</v>
      </c>
      <c r="H261" s="649">
        <v>0</v>
      </c>
      <c r="I261" s="649" t="s">
        <v>1625</v>
      </c>
      <c r="J261" s="649"/>
      <c r="K261" s="649"/>
      <c r="L261" s="651" t="s">
        <v>2146</v>
      </c>
      <c r="M261" s="651"/>
      <c r="N261" s="651"/>
      <c r="O261" s="651"/>
      <c r="P261" s="651" t="s">
        <v>345</v>
      </c>
      <c r="Q261" s="651" t="s">
        <v>347</v>
      </c>
      <c r="R261" s="651" t="s">
        <v>348</v>
      </c>
      <c r="S261" s="651"/>
    </row>
    <row r="262" spans="1:19">
      <c r="A262" s="649" t="s">
        <v>349</v>
      </c>
      <c r="B262" s="649" t="s">
        <v>2163</v>
      </c>
      <c r="C262" s="652">
        <v>0</v>
      </c>
      <c r="D262" s="650">
        <v>0</v>
      </c>
      <c r="E262" s="650">
        <v>0</v>
      </c>
      <c r="F262" s="649">
        <v>0</v>
      </c>
      <c r="G262" s="649">
        <v>0</v>
      </c>
      <c r="H262" s="649">
        <v>0</v>
      </c>
      <c r="I262" s="649" t="s">
        <v>1625</v>
      </c>
      <c r="J262" s="649"/>
      <c r="K262" s="649"/>
      <c r="L262" s="651" t="s">
        <v>2146</v>
      </c>
      <c r="M262" s="651"/>
      <c r="N262" s="651"/>
      <c r="O262" s="651"/>
      <c r="P262" s="651" t="s">
        <v>76</v>
      </c>
      <c r="Q262" s="651" t="s">
        <v>78</v>
      </c>
      <c r="R262" s="651"/>
      <c r="S262" s="651"/>
    </row>
    <row r="263" spans="1:19">
      <c r="A263" s="649" t="s">
        <v>350</v>
      </c>
      <c r="B263" s="649" t="s">
        <v>2163</v>
      </c>
      <c r="C263" s="652">
        <v>155041.21</v>
      </c>
      <c r="D263" s="650">
        <v>599000</v>
      </c>
      <c r="E263" s="650">
        <v>95489.03</v>
      </c>
      <c r="F263" s="649">
        <v>0</v>
      </c>
      <c r="G263" s="649">
        <v>13.68</v>
      </c>
      <c r="H263" s="649">
        <v>0</v>
      </c>
      <c r="I263" s="649" t="s">
        <v>1625</v>
      </c>
      <c r="J263" s="649"/>
      <c r="K263" s="649"/>
      <c r="L263" s="651" t="s">
        <v>2146</v>
      </c>
      <c r="M263" s="651"/>
      <c r="N263" s="651"/>
      <c r="O263" s="651" t="s">
        <v>1186</v>
      </c>
      <c r="P263" s="651" t="s">
        <v>819</v>
      </c>
      <c r="Q263" s="651" t="s">
        <v>820</v>
      </c>
      <c r="R263" s="651" t="s">
        <v>351</v>
      </c>
      <c r="S263" s="651"/>
    </row>
    <row r="264" spans="1:19">
      <c r="A264" s="649" t="s">
        <v>352</v>
      </c>
      <c r="B264" s="649" t="s">
        <v>2163</v>
      </c>
      <c r="C264" s="652">
        <v>283102.09999999998</v>
      </c>
      <c r="D264" s="650">
        <v>283776</v>
      </c>
      <c r="E264" s="650">
        <v>201980.16</v>
      </c>
      <c r="F264" s="649">
        <v>0</v>
      </c>
      <c r="G264" s="649">
        <v>673.9</v>
      </c>
      <c r="H264" s="649">
        <v>0</v>
      </c>
      <c r="I264" s="649" t="s">
        <v>1625</v>
      </c>
      <c r="J264" s="649"/>
      <c r="K264" s="649"/>
      <c r="L264" s="651" t="s">
        <v>2146</v>
      </c>
      <c r="M264" s="651"/>
      <c r="N264" s="651"/>
      <c r="O264" s="651" t="s">
        <v>1186</v>
      </c>
      <c r="P264" s="651" t="s">
        <v>819</v>
      </c>
      <c r="Q264" s="651" t="s">
        <v>820</v>
      </c>
      <c r="R264" s="651" t="s">
        <v>353</v>
      </c>
      <c r="S264" s="651"/>
    </row>
    <row r="265" spans="1:19" s="327" customFormat="1">
      <c r="A265" s="654" t="s">
        <v>354</v>
      </c>
      <c r="B265" s="654" t="s">
        <v>2163</v>
      </c>
      <c r="C265" s="655">
        <v>0</v>
      </c>
      <c r="D265" s="656">
        <v>1306511</v>
      </c>
      <c r="E265" s="656">
        <v>564957.9</v>
      </c>
      <c r="F265" s="654">
        <v>0</v>
      </c>
      <c r="G265" s="654">
        <v>8772.57</v>
      </c>
      <c r="H265" s="654">
        <v>1</v>
      </c>
      <c r="I265" s="654" t="s">
        <v>1625</v>
      </c>
      <c r="J265" s="654"/>
      <c r="K265" s="654"/>
      <c r="L265" s="653" t="s">
        <v>2146</v>
      </c>
      <c r="M265" s="653"/>
      <c r="N265" s="653"/>
      <c r="O265" s="653" t="s">
        <v>2147</v>
      </c>
      <c r="P265" s="653" t="s">
        <v>792</v>
      </c>
      <c r="Q265" s="653" t="s">
        <v>355</v>
      </c>
      <c r="R265" s="653" t="s">
        <v>356</v>
      </c>
      <c r="S265" s="653"/>
    </row>
    <row r="266" spans="1:19">
      <c r="A266" s="649" t="s">
        <v>357</v>
      </c>
      <c r="B266" s="649" t="s">
        <v>2163</v>
      </c>
      <c r="C266" s="652">
        <v>0</v>
      </c>
      <c r="D266" s="650">
        <v>3576581</v>
      </c>
      <c r="E266" s="650">
        <v>0</v>
      </c>
      <c r="F266" s="649">
        <v>0</v>
      </c>
      <c r="G266" s="649">
        <v>3576581</v>
      </c>
      <c r="H266" s="649">
        <v>100</v>
      </c>
      <c r="I266" s="649" t="s">
        <v>1625</v>
      </c>
      <c r="J266" s="649"/>
      <c r="K266" s="649"/>
      <c r="L266" s="651" t="s">
        <v>2149</v>
      </c>
      <c r="M266" s="651"/>
      <c r="N266" s="651"/>
      <c r="O266" s="651"/>
      <c r="P266" s="651" t="s">
        <v>819</v>
      </c>
      <c r="Q266" s="651" t="s">
        <v>820</v>
      </c>
      <c r="R266" s="651" t="s">
        <v>316</v>
      </c>
      <c r="S266" s="651"/>
    </row>
    <row r="267" spans="1:19">
      <c r="A267" s="649" t="s">
        <v>358</v>
      </c>
      <c r="B267" s="649" t="s">
        <v>2163</v>
      </c>
      <c r="C267" s="652">
        <v>0</v>
      </c>
      <c r="D267" s="650">
        <v>0</v>
      </c>
      <c r="E267" s="650">
        <v>0</v>
      </c>
      <c r="F267" s="649">
        <v>0</v>
      </c>
      <c r="G267" s="649">
        <v>0</v>
      </c>
      <c r="H267" s="649">
        <v>0</v>
      </c>
      <c r="I267" s="649" t="s">
        <v>1625</v>
      </c>
      <c r="J267" s="649"/>
      <c r="K267" s="649"/>
      <c r="L267" s="651" t="s">
        <v>2146</v>
      </c>
      <c r="M267" s="651"/>
      <c r="N267" s="651"/>
      <c r="O267" s="651"/>
      <c r="P267" s="651">
        <v>2</v>
      </c>
      <c r="Q267" s="651" t="s">
        <v>359</v>
      </c>
      <c r="R267" s="651" t="s">
        <v>360</v>
      </c>
      <c r="S267" s="651" t="s">
        <v>361</v>
      </c>
    </row>
    <row r="268" spans="1:19">
      <c r="A268" s="649" t="s">
        <v>362</v>
      </c>
      <c r="B268" s="649" t="s">
        <v>2163</v>
      </c>
      <c r="C268" s="652">
        <v>0</v>
      </c>
      <c r="D268" s="650">
        <v>0</v>
      </c>
      <c r="E268" s="650">
        <v>0</v>
      </c>
      <c r="F268" s="649">
        <v>0</v>
      </c>
      <c r="G268" s="649">
        <v>0</v>
      </c>
      <c r="H268" s="649">
        <v>0</v>
      </c>
      <c r="I268" s="649" t="s">
        <v>1625</v>
      </c>
      <c r="J268" s="649">
        <f>SUM(C227:C268)</f>
        <v>11801544.520000003</v>
      </c>
      <c r="K268" s="649"/>
      <c r="L268" s="651" t="s">
        <v>2146</v>
      </c>
      <c r="M268" s="651"/>
      <c r="N268" s="651"/>
      <c r="O268" s="651"/>
      <c r="P268" s="651" t="s">
        <v>3252</v>
      </c>
      <c r="Q268" s="651" t="s">
        <v>363</v>
      </c>
      <c r="R268" s="651" t="s">
        <v>364</v>
      </c>
      <c r="S268" s="651"/>
    </row>
    <row r="269" spans="1:19">
      <c r="A269" s="649" t="s">
        <v>365</v>
      </c>
      <c r="B269" s="649" t="s">
        <v>2163</v>
      </c>
      <c r="C269" s="652">
        <v>0</v>
      </c>
      <c r="D269" s="650">
        <v>0</v>
      </c>
      <c r="E269" s="650">
        <v>909.71</v>
      </c>
      <c r="F269" s="649">
        <v>0</v>
      </c>
      <c r="G269" s="649">
        <v>0</v>
      </c>
      <c r="H269" s="649">
        <v>0</v>
      </c>
      <c r="I269" s="649" t="s">
        <v>773</v>
      </c>
      <c r="J269" s="649"/>
      <c r="K269" s="649"/>
      <c r="L269" s="651"/>
      <c r="M269" s="651"/>
      <c r="N269" s="651"/>
      <c r="O269" s="651"/>
      <c r="P269" s="651" t="s">
        <v>769</v>
      </c>
      <c r="Q269" s="651" t="s">
        <v>689</v>
      </c>
      <c r="R269" s="651"/>
      <c r="S269" s="651"/>
    </row>
    <row r="270" spans="1:19">
      <c r="A270" s="649" t="s">
        <v>366</v>
      </c>
      <c r="B270" s="649" t="s">
        <v>2783</v>
      </c>
      <c r="C270" s="652">
        <v>45677.760000000002</v>
      </c>
      <c r="D270" s="650">
        <v>72500</v>
      </c>
      <c r="E270" s="650">
        <v>-20770.16</v>
      </c>
      <c r="F270" s="649">
        <v>0</v>
      </c>
      <c r="G270" s="649">
        <v>26822.240000000002</v>
      </c>
      <c r="H270" s="649">
        <v>37</v>
      </c>
      <c r="I270" s="649" t="s">
        <v>1625</v>
      </c>
      <c r="J270" s="649"/>
      <c r="K270" s="649"/>
      <c r="L270" s="651" t="s">
        <v>2140</v>
      </c>
      <c r="M270" s="651"/>
      <c r="N270" s="651"/>
      <c r="O270" s="651" t="s">
        <v>2180</v>
      </c>
      <c r="P270" s="651" t="s">
        <v>103</v>
      </c>
      <c r="Q270" s="651" t="s">
        <v>104</v>
      </c>
      <c r="R270" s="651" t="s">
        <v>1074</v>
      </c>
      <c r="S270" s="651" t="s">
        <v>105</v>
      </c>
    </row>
    <row r="271" spans="1:19">
      <c r="A271" s="649" t="s">
        <v>367</v>
      </c>
      <c r="B271" s="649" t="s">
        <v>2783</v>
      </c>
      <c r="C271" s="652">
        <v>922.31</v>
      </c>
      <c r="D271" s="650">
        <v>1300</v>
      </c>
      <c r="E271" s="650">
        <v>0</v>
      </c>
      <c r="F271" s="649">
        <v>0</v>
      </c>
      <c r="G271" s="649">
        <v>377.69</v>
      </c>
      <c r="H271" s="649">
        <v>29</v>
      </c>
      <c r="I271" s="649" t="s">
        <v>1625</v>
      </c>
      <c r="J271" s="649"/>
      <c r="K271" s="649"/>
      <c r="L271" s="651" t="s">
        <v>2140</v>
      </c>
      <c r="M271" s="651"/>
      <c r="N271" s="651"/>
      <c r="O271" s="651" t="s">
        <v>2180</v>
      </c>
      <c r="P271" s="651" t="s">
        <v>107</v>
      </c>
      <c r="Q271" s="651" t="s">
        <v>1074</v>
      </c>
      <c r="R271" s="651" t="s">
        <v>108</v>
      </c>
      <c r="S271" s="651"/>
    </row>
    <row r="272" spans="1:19">
      <c r="A272" s="649" t="s">
        <v>368</v>
      </c>
      <c r="B272" s="649" t="s">
        <v>2783</v>
      </c>
      <c r="C272" s="652">
        <v>6040.72</v>
      </c>
      <c r="D272" s="650">
        <v>6041</v>
      </c>
      <c r="E272" s="650">
        <v>0</v>
      </c>
      <c r="F272" s="649">
        <v>0</v>
      </c>
      <c r="G272" s="649">
        <v>0.28000000000000003</v>
      </c>
      <c r="H272" s="649">
        <v>0</v>
      </c>
      <c r="I272" s="649" t="s">
        <v>1625</v>
      </c>
      <c r="J272" s="649"/>
      <c r="K272" s="649"/>
      <c r="L272" s="651" t="s">
        <v>2140</v>
      </c>
      <c r="M272" s="651"/>
      <c r="N272" s="651"/>
      <c r="O272" s="651" t="s">
        <v>2180</v>
      </c>
      <c r="P272" s="651" t="s">
        <v>77</v>
      </c>
      <c r="Q272" s="651" t="s">
        <v>110</v>
      </c>
      <c r="R272" s="651" t="s">
        <v>1074</v>
      </c>
      <c r="S272" s="651" t="s">
        <v>111</v>
      </c>
    </row>
    <row r="273" spans="1:19">
      <c r="A273" s="649" t="s">
        <v>369</v>
      </c>
      <c r="B273" s="649" t="s">
        <v>2783</v>
      </c>
      <c r="C273" s="652">
        <v>0</v>
      </c>
      <c r="D273" s="650">
        <v>24000</v>
      </c>
      <c r="E273" s="650">
        <v>0</v>
      </c>
      <c r="F273" s="649">
        <v>0</v>
      </c>
      <c r="G273" s="649">
        <v>24000</v>
      </c>
      <c r="H273" s="649">
        <v>100</v>
      </c>
      <c r="I273" s="649" t="s">
        <v>1625</v>
      </c>
      <c r="J273" s="649"/>
      <c r="K273" s="649"/>
      <c r="L273" s="651" t="s">
        <v>2140</v>
      </c>
      <c r="M273" s="651"/>
      <c r="N273" s="651"/>
      <c r="O273" s="651" t="s">
        <v>2178</v>
      </c>
      <c r="P273" s="651" t="s">
        <v>792</v>
      </c>
      <c r="Q273" s="651" t="s">
        <v>1074</v>
      </c>
      <c r="R273" s="651" t="s">
        <v>239</v>
      </c>
      <c r="S273" s="651"/>
    </row>
    <row r="274" spans="1:19">
      <c r="A274" s="649" t="s">
        <v>370</v>
      </c>
      <c r="B274" s="649" t="s">
        <v>2783</v>
      </c>
      <c r="C274" s="652">
        <v>13098.72</v>
      </c>
      <c r="D274" s="650">
        <v>13100</v>
      </c>
      <c r="E274" s="650">
        <v>1091.56</v>
      </c>
      <c r="F274" s="649">
        <v>0</v>
      </c>
      <c r="G274" s="649">
        <v>1.28</v>
      </c>
      <c r="H274" s="649">
        <v>0</v>
      </c>
      <c r="I274" s="649" t="s">
        <v>1625</v>
      </c>
      <c r="J274" s="649"/>
      <c r="K274" s="649"/>
      <c r="L274" s="651" t="s">
        <v>2140</v>
      </c>
      <c r="M274" s="651"/>
      <c r="N274" s="651"/>
      <c r="O274" s="651" t="s">
        <v>2181</v>
      </c>
      <c r="P274" s="651" t="s">
        <v>816</v>
      </c>
      <c r="Q274" s="651" t="s">
        <v>1074</v>
      </c>
      <c r="R274" s="651" t="s">
        <v>124</v>
      </c>
      <c r="S274" s="651" t="s">
        <v>125</v>
      </c>
    </row>
    <row r="275" spans="1:19">
      <c r="A275" s="649" t="s">
        <v>371</v>
      </c>
      <c r="B275" s="649" t="s">
        <v>2783</v>
      </c>
      <c r="C275" s="652">
        <v>790.35</v>
      </c>
      <c r="D275" s="650">
        <v>900</v>
      </c>
      <c r="E275" s="650">
        <v>60.41</v>
      </c>
      <c r="F275" s="649">
        <v>0</v>
      </c>
      <c r="G275" s="649">
        <v>109.65</v>
      </c>
      <c r="H275" s="649">
        <v>12</v>
      </c>
      <c r="I275" s="649" t="s">
        <v>1625</v>
      </c>
      <c r="J275" s="649"/>
      <c r="K275" s="649"/>
      <c r="L275" s="651" t="s">
        <v>2140</v>
      </c>
      <c r="M275" s="651"/>
      <c r="N275" s="651"/>
      <c r="O275" s="651" t="s">
        <v>1827</v>
      </c>
      <c r="P275" s="651" t="s">
        <v>816</v>
      </c>
      <c r="Q275" s="651" t="s">
        <v>1074</v>
      </c>
      <c r="R275" s="651" t="s">
        <v>793</v>
      </c>
      <c r="S275" s="651"/>
    </row>
    <row r="276" spans="1:19">
      <c r="A276" s="649" t="s">
        <v>372</v>
      </c>
      <c r="B276" s="649" t="s">
        <v>2783</v>
      </c>
      <c r="C276" s="652">
        <v>0</v>
      </c>
      <c r="D276" s="650">
        <v>0</v>
      </c>
      <c r="E276" s="650">
        <v>0</v>
      </c>
      <c r="F276" s="649">
        <v>0</v>
      </c>
      <c r="G276" s="649">
        <v>0</v>
      </c>
      <c r="H276" s="649">
        <v>0</v>
      </c>
      <c r="I276" s="649" t="s">
        <v>1625</v>
      </c>
      <c r="J276" s="649"/>
      <c r="K276" s="649"/>
      <c r="L276" s="651" t="s">
        <v>2140</v>
      </c>
      <c r="M276" s="651"/>
      <c r="N276" s="651"/>
      <c r="O276" s="651" t="s">
        <v>2182</v>
      </c>
      <c r="P276" s="651" t="s">
        <v>816</v>
      </c>
      <c r="Q276" s="651" t="s">
        <v>1074</v>
      </c>
      <c r="R276" s="651" t="s">
        <v>128</v>
      </c>
      <c r="S276" s="651" t="s">
        <v>129</v>
      </c>
    </row>
    <row r="277" spans="1:19">
      <c r="A277" s="649" t="s">
        <v>373</v>
      </c>
      <c r="B277" s="649" t="s">
        <v>2783</v>
      </c>
      <c r="C277" s="652">
        <v>38.4</v>
      </c>
      <c r="D277" s="650">
        <v>40</v>
      </c>
      <c r="E277" s="650">
        <v>3.2</v>
      </c>
      <c r="F277" s="649">
        <v>0</v>
      </c>
      <c r="G277" s="649">
        <v>1.6</v>
      </c>
      <c r="H277" s="649">
        <v>4</v>
      </c>
      <c r="I277" s="649" t="s">
        <v>1625</v>
      </c>
      <c r="J277" s="649"/>
      <c r="K277" s="649"/>
      <c r="L277" s="651" t="s">
        <v>2140</v>
      </c>
      <c r="M277" s="651"/>
      <c r="N277" s="651"/>
      <c r="O277" s="651" t="s">
        <v>2180</v>
      </c>
      <c r="P277" s="651" t="s">
        <v>2486</v>
      </c>
      <c r="Q277" s="651" t="s">
        <v>1074</v>
      </c>
      <c r="R277" s="651" t="s">
        <v>802</v>
      </c>
      <c r="S277" s="651"/>
    </row>
    <row r="278" spans="1:19">
      <c r="A278" s="649" t="s">
        <v>374</v>
      </c>
      <c r="B278" s="649" t="s">
        <v>2783</v>
      </c>
      <c r="C278" s="652">
        <v>0</v>
      </c>
      <c r="D278" s="650">
        <v>139</v>
      </c>
      <c r="E278" s="650">
        <v>0</v>
      </c>
      <c r="F278" s="649">
        <v>0</v>
      </c>
      <c r="G278" s="649">
        <v>139</v>
      </c>
      <c r="H278" s="649">
        <v>100</v>
      </c>
      <c r="I278" s="649" t="s">
        <v>1625</v>
      </c>
      <c r="J278" s="649"/>
      <c r="K278" s="649"/>
      <c r="L278" s="651" t="s">
        <v>2142</v>
      </c>
      <c r="M278" s="651"/>
      <c r="N278" s="651"/>
      <c r="O278" s="651"/>
      <c r="P278" s="651" t="s">
        <v>819</v>
      </c>
      <c r="Q278" s="651" t="s">
        <v>132</v>
      </c>
      <c r="R278" s="651" t="s">
        <v>133</v>
      </c>
      <c r="S278" s="651"/>
    </row>
    <row r="279" spans="1:19">
      <c r="A279" s="649" t="s">
        <v>375</v>
      </c>
      <c r="B279" s="649" t="s">
        <v>2783</v>
      </c>
      <c r="C279" s="652">
        <v>2573.96</v>
      </c>
      <c r="D279" s="650">
        <v>2600</v>
      </c>
      <c r="E279" s="650">
        <v>0</v>
      </c>
      <c r="F279" s="649">
        <v>0</v>
      </c>
      <c r="G279" s="649">
        <v>26.04</v>
      </c>
      <c r="H279" s="649">
        <v>1</v>
      </c>
      <c r="I279" s="649" t="s">
        <v>1625</v>
      </c>
      <c r="J279" s="649">
        <f>SUM(C270:C279)</f>
        <v>69142.22</v>
      </c>
      <c r="K279" s="649"/>
      <c r="L279" s="651" t="s">
        <v>2146</v>
      </c>
      <c r="M279" s="651"/>
      <c r="N279" s="651"/>
      <c r="O279" s="651"/>
      <c r="P279" s="651" t="s">
        <v>3248</v>
      </c>
      <c r="Q279" s="651"/>
      <c r="R279" s="651"/>
      <c r="S279" s="651"/>
    </row>
    <row r="280" spans="1:19">
      <c r="A280" s="649" t="s">
        <v>377</v>
      </c>
      <c r="B280" s="649" t="s">
        <v>2164</v>
      </c>
      <c r="C280" s="652">
        <v>0</v>
      </c>
      <c r="D280" s="650">
        <v>0</v>
      </c>
      <c r="E280" s="650">
        <v>2314.63</v>
      </c>
      <c r="F280" s="649">
        <v>0</v>
      </c>
      <c r="G280" s="649">
        <v>0</v>
      </c>
      <c r="H280" s="649">
        <v>0</v>
      </c>
      <c r="I280" s="649" t="s">
        <v>773</v>
      </c>
      <c r="J280" s="649"/>
      <c r="K280" s="649"/>
      <c r="L280" s="651"/>
      <c r="M280" s="651"/>
      <c r="N280" s="651"/>
      <c r="O280" s="651"/>
      <c r="P280" s="651" t="s">
        <v>769</v>
      </c>
      <c r="Q280" s="651" t="s">
        <v>689</v>
      </c>
      <c r="R280" s="651"/>
      <c r="S280" s="651"/>
    </row>
    <row r="281" spans="1:19">
      <c r="A281" s="649" t="s">
        <v>378</v>
      </c>
      <c r="B281" s="649" t="s">
        <v>2164</v>
      </c>
      <c r="C281" s="652">
        <v>0</v>
      </c>
      <c r="D281" s="650">
        <v>0</v>
      </c>
      <c r="E281" s="650">
        <v>0</v>
      </c>
      <c r="F281" s="649">
        <v>0</v>
      </c>
      <c r="G281" s="649">
        <v>0</v>
      </c>
      <c r="H281" s="649">
        <v>0</v>
      </c>
      <c r="I281" s="649" t="s">
        <v>773</v>
      </c>
      <c r="J281" s="649"/>
      <c r="K281" s="649"/>
      <c r="L281" s="651"/>
      <c r="M281" s="651"/>
      <c r="N281" s="651"/>
      <c r="O281" s="651"/>
      <c r="P281" s="651" t="s">
        <v>379</v>
      </c>
      <c r="Q281" s="651" t="s">
        <v>380</v>
      </c>
      <c r="R281" s="651"/>
      <c r="S281" s="651"/>
    </row>
    <row r="282" spans="1:19">
      <c r="A282" s="649" t="s">
        <v>381</v>
      </c>
      <c r="B282" s="649" t="s">
        <v>2164</v>
      </c>
      <c r="C282" s="652">
        <v>-500000</v>
      </c>
      <c r="D282" s="650">
        <v>-500000</v>
      </c>
      <c r="E282" s="650">
        <v>0</v>
      </c>
      <c r="F282" s="649">
        <v>0</v>
      </c>
      <c r="G282" s="649">
        <v>0</v>
      </c>
      <c r="H282" s="649">
        <v>0</v>
      </c>
      <c r="I282" s="649" t="s">
        <v>773</v>
      </c>
      <c r="J282" s="649"/>
      <c r="K282" s="649"/>
      <c r="L282" s="651" t="s">
        <v>33</v>
      </c>
      <c r="M282" s="651"/>
      <c r="N282" s="651"/>
      <c r="O282" s="651"/>
      <c r="P282" s="651" t="s">
        <v>1429</v>
      </c>
      <c r="Q282" s="651" t="s">
        <v>382</v>
      </c>
      <c r="R282" s="651"/>
      <c r="S282" s="651"/>
    </row>
    <row r="283" spans="1:19">
      <c r="A283" s="649" t="s">
        <v>383</v>
      </c>
      <c r="B283" s="649" t="s">
        <v>2164</v>
      </c>
      <c r="C283" s="652">
        <v>-734000</v>
      </c>
      <c r="D283" s="650">
        <v>-734000</v>
      </c>
      <c r="E283" s="650">
        <v>0</v>
      </c>
      <c r="F283" s="649">
        <v>0</v>
      </c>
      <c r="G283" s="649">
        <v>0</v>
      </c>
      <c r="H283" s="649">
        <v>0</v>
      </c>
      <c r="I283" s="649" t="s">
        <v>773</v>
      </c>
      <c r="J283" s="649"/>
      <c r="K283" s="649">
        <f>SUM(C282:C283)</f>
        <v>-1234000</v>
      </c>
      <c r="L283" s="651" t="s">
        <v>34</v>
      </c>
      <c r="M283" s="651"/>
      <c r="N283" s="651"/>
      <c r="O283" s="651"/>
      <c r="P283" s="651" t="s">
        <v>779</v>
      </c>
      <c r="Q283" s="651" t="s">
        <v>231</v>
      </c>
      <c r="R283" s="651" t="s">
        <v>384</v>
      </c>
      <c r="S283" s="651"/>
    </row>
    <row r="284" spans="1:19">
      <c r="A284" s="649" t="s">
        <v>385</v>
      </c>
      <c r="B284" s="649" t="s">
        <v>2164</v>
      </c>
      <c r="C284" s="652">
        <v>140833.68</v>
      </c>
      <c r="D284" s="650">
        <v>141000</v>
      </c>
      <c r="E284" s="650">
        <v>11689.39</v>
      </c>
      <c r="F284" s="649">
        <v>0</v>
      </c>
      <c r="G284" s="649">
        <v>166.32</v>
      </c>
      <c r="H284" s="649">
        <v>0</v>
      </c>
      <c r="I284" s="649" t="s">
        <v>1625</v>
      </c>
      <c r="J284" s="649"/>
      <c r="K284" s="649"/>
      <c r="L284" s="651" t="s">
        <v>2140</v>
      </c>
      <c r="M284" s="651"/>
      <c r="N284" s="651"/>
      <c r="O284" s="651" t="s">
        <v>2180</v>
      </c>
      <c r="P284" s="651" t="s">
        <v>103</v>
      </c>
      <c r="Q284" s="651" t="s">
        <v>104</v>
      </c>
      <c r="R284" s="651" t="s">
        <v>1074</v>
      </c>
      <c r="S284" s="651" t="s">
        <v>105</v>
      </c>
    </row>
    <row r="285" spans="1:19">
      <c r="A285" s="649" t="s">
        <v>386</v>
      </c>
      <c r="B285" s="649" t="s">
        <v>2164</v>
      </c>
      <c r="C285" s="652">
        <v>0</v>
      </c>
      <c r="D285" s="650">
        <v>0</v>
      </c>
      <c r="E285" s="650">
        <v>0</v>
      </c>
      <c r="F285" s="649">
        <v>0</v>
      </c>
      <c r="G285" s="649">
        <v>0</v>
      </c>
      <c r="H285" s="649">
        <v>0</v>
      </c>
      <c r="I285" s="649" t="s">
        <v>1625</v>
      </c>
      <c r="J285" s="649"/>
      <c r="K285" s="649"/>
      <c r="L285" s="651" t="s">
        <v>2140</v>
      </c>
      <c r="M285" s="651"/>
      <c r="N285" s="651"/>
      <c r="O285" s="651" t="s">
        <v>2180</v>
      </c>
      <c r="P285" s="651" t="s">
        <v>107</v>
      </c>
      <c r="Q285" s="651" t="s">
        <v>1074</v>
      </c>
      <c r="R285" s="651" t="s">
        <v>108</v>
      </c>
      <c r="S285" s="651"/>
    </row>
    <row r="286" spans="1:19">
      <c r="A286" s="649" t="s">
        <v>387</v>
      </c>
      <c r="B286" s="649" t="s">
        <v>2164</v>
      </c>
      <c r="C286" s="652">
        <v>11740.39</v>
      </c>
      <c r="D286" s="650">
        <v>11840</v>
      </c>
      <c r="E286" s="650">
        <v>0</v>
      </c>
      <c r="F286" s="649">
        <v>0</v>
      </c>
      <c r="G286" s="649">
        <v>99.61</v>
      </c>
      <c r="H286" s="649">
        <v>1</v>
      </c>
      <c r="I286" s="649" t="s">
        <v>1625</v>
      </c>
      <c r="J286" s="649"/>
      <c r="K286" s="649"/>
      <c r="L286" s="651" t="s">
        <v>2140</v>
      </c>
      <c r="M286" s="651"/>
      <c r="N286" s="651"/>
      <c r="O286" s="651" t="s">
        <v>2180</v>
      </c>
      <c r="P286" s="651" t="s">
        <v>77</v>
      </c>
      <c r="Q286" s="651" t="s">
        <v>110</v>
      </c>
      <c r="R286" s="651" t="s">
        <v>1074</v>
      </c>
      <c r="S286" s="651" t="s">
        <v>111</v>
      </c>
    </row>
    <row r="287" spans="1:19">
      <c r="A287" s="649" t="s">
        <v>388</v>
      </c>
      <c r="B287" s="649" t="s">
        <v>2164</v>
      </c>
      <c r="C287" s="652">
        <v>0</v>
      </c>
      <c r="D287" s="650">
        <v>0</v>
      </c>
      <c r="E287" s="650">
        <v>0</v>
      </c>
      <c r="F287" s="649">
        <v>0</v>
      </c>
      <c r="G287" s="649">
        <v>0</v>
      </c>
      <c r="H287" s="649">
        <v>0</v>
      </c>
      <c r="I287" s="649" t="s">
        <v>1625</v>
      </c>
      <c r="J287" s="649"/>
      <c r="K287" s="649"/>
      <c r="L287" s="651" t="s">
        <v>2140</v>
      </c>
      <c r="M287" s="651"/>
      <c r="N287" s="651"/>
      <c r="O287" s="651" t="s">
        <v>1770</v>
      </c>
      <c r="P287" s="651" t="s">
        <v>1101</v>
      </c>
      <c r="Q287" s="651" t="s">
        <v>805</v>
      </c>
      <c r="R287" s="651"/>
      <c r="S287" s="651"/>
    </row>
    <row r="288" spans="1:19">
      <c r="A288" s="649" t="s">
        <v>389</v>
      </c>
      <c r="B288" s="649" t="s">
        <v>2164</v>
      </c>
      <c r="C288" s="652">
        <v>44295</v>
      </c>
      <c r="D288" s="650">
        <v>44295</v>
      </c>
      <c r="E288" s="650">
        <v>3691.25</v>
      </c>
      <c r="F288" s="649">
        <v>0</v>
      </c>
      <c r="G288" s="649">
        <v>0</v>
      </c>
      <c r="H288" s="649">
        <v>0</v>
      </c>
      <c r="I288" s="649" t="s">
        <v>1625</v>
      </c>
      <c r="J288" s="649"/>
      <c r="K288" s="649"/>
      <c r="L288" s="651" t="s">
        <v>2140</v>
      </c>
      <c r="M288" s="651"/>
      <c r="N288" s="651"/>
      <c r="O288" s="651" t="s">
        <v>2180</v>
      </c>
      <c r="P288" s="651" t="s">
        <v>118</v>
      </c>
      <c r="Q288" s="651" t="s">
        <v>805</v>
      </c>
      <c r="R288" s="651"/>
      <c r="S288" s="651"/>
    </row>
    <row r="289" spans="1:19">
      <c r="A289" s="649" t="s">
        <v>390</v>
      </c>
      <c r="B289" s="649" t="s">
        <v>2164</v>
      </c>
      <c r="C289" s="652">
        <v>8902.7999999999993</v>
      </c>
      <c r="D289" s="650">
        <v>9000</v>
      </c>
      <c r="E289" s="650">
        <v>775.8</v>
      </c>
      <c r="F289" s="649">
        <v>0</v>
      </c>
      <c r="G289" s="649">
        <v>97.2</v>
      </c>
      <c r="H289" s="649">
        <v>1</v>
      </c>
      <c r="I289" s="649" t="s">
        <v>1625</v>
      </c>
      <c r="J289" s="649"/>
      <c r="K289" s="649"/>
      <c r="L289" s="651" t="s">
        <v>2140</v>
      </c>
      <c r="M289" s="651"/>
      <c r="N289" s="651"/>
      <c r="O289" s="651" t="s">
        <v>2178</v>
      </c>
      <c r="P289" s="651" t="s">
        <v>792</v>
      </c>
      <c r="Q289" s="651" t="s">
        <v>1074</v>
      </c>
      <c r="R289" s="651" t="s">
        <v>239</v>
      </c>
      <c r="S289" s="651"/>
    </row>
    <row r="290" spans="1:19">
      <c r="A290" s="649" t="s">
        <v>391</v>
      </c>
      <c r="B290" s="649" t="s">
        <v>2164</v>
      </c>
      <c r="C290" s="652">
        <v>30994.68</v>
      </c>
      <c r="D290" s="650">
        <v>31000</v>
      </c>
      <c r="E290" s="650">
        <v>2582.89</v>
      </c>
      <c r="F290" s="649">
        <v>0</v>
      </c>
      <c r="G290" s="649">
        <v>5.32</v>
      </c>
      <c r="H290" s="649">
        <v>0</v>
      </c>
      <c r="I290" s="649" t="s">
        <v>1625</v>
      </c>
      <c r="J290" s="649"/>
      <c r="K290" s="649"/>
      <c r="L290" s="651" t="s">
        <v>2140</v>
      </c>
      <c r="M290" s="651"/>
      <c r="N290" s="651"/>
      <c r="O290" s="651" t="s">
        <v>2181</v>
      </c>
      <c r="P290" s="651" t="s">
        <v>792</v>
      </c>
      <c r="Q290" s="651" t="s">
        <v>1074</v>
      </c>
      <c r="R290" s="651" t="s">
        <v>165</v>
      </c>
      <c r="S290" s="651"/>
    </row>
    <row r="291" spans="1:19">
      <c r="A291" s="649" t="s">
        <v>392</v>
      </c>
      <c r="B291" s="649" t="s">
        <v>2164</v>
      </c>
      <c r="C291" s="652">
        <v>1472.88</v>
      </c>
      <c r="D291" s="650">
        <v>1500</v>
      </c>
      <c r="E291" s="650">
        <v>124.78</v>
      </c>
      <c r="F291" s="649">
        <v>0</v>
      </c>
      <c r="G291" s="649">
        <v>27.12</v>
      </c>
      <c r="H291" s="649">
        <v>2</v>
      </c>
      <c r="I291" s="649" t="s">
        <v>1625</v>
      </c>
      <c r="J291" s="649"/>
      <c r="K291" s="649"/>
      <c r="L291" s="651" t="s">
        <v>2140</v>
      </c>
      <c r="M291" s="651"/>
      <c r="N291" s="651"/>
      <c r="O291" s="651" t="s">
        <v>1827</v>
      </c>
      <c r="P291" s="651" t="s">
        <v>792</v>
      </c>
      <c r="Q291" s="651" t="s">
        <v>1074</v>
      </c>
      <c r="R291" s="651" t="s">
        <v>793</v>
      </c>
      <c r="S291" s="651"/>
    </row>
    <row r="292" spans="1:19">
      <c r="A292" s="649" t="s">
        <v>393</v>
      </c>
      <c r="B292" s="649" t="s">
        <v>2164</v>
      </c>
      <c r="C292" s="652">
        <v>2141.4</v>
      </c>
      <c r="D292" s="650">
        <v>2200</v>
      </c>
      <c r="E292" s="650">
        <v>178.45</v>
      </c>
      <c r="F292" s="649">
        <v>0</v>
      </c>
      <c r="G292" s="649">
        <v>58.6</v>
      </c>
      <c r="H292" s="649">
        <v>3</v>
      </c>
      <c r="I292" s="649" t="s">
        <v>1625</v>
      </c>
      <c r="J292" s="649"/>
      <c r="K292" s="649"/>
      <c r="L292" s="651" t="s">
        <v>2140</v>
      </c>
      <c r="M292" s="651"/>
      <c r="N292" s="651"/>
      <c r="O292" s="651" t="s">
        <v>2182</v>
      </c>
      <c r="P292" s="651" t="s">
        <v>792</v>
      </c>
      <c r="Q292" s="651" t="s">
        <v>1074</v>
      </c>
      <c r="R292" s="651" t="s">
        <v>394</v>
      </c>
      <c r="S292" s="651"/>
    </row>
    <row r="293" spans="1:19">
      <c r="A293" s="649" t="s">
        <v>1635</v>
      </c>
      <c r="B293" s="649" t="s">
        <v>2164</v>
      </c>
      <c r="C293" s="652">
        <v>38.4</v>
      </c>
      <c r="D293" s="650">
        <v>40</v>
      </c>
      <c r="E293" s="650">
        <v>3.2</v>
      </c>
      <c r="F293" s="649">
        <v>0</v>
      </c>
      <c r="G293" s="649">
        <v>1.6</v>
      </c>
      <c r="H293" s="649">
        <v>4</v>
      </c>
      <c r="I293" s="649" t="s">
        <v>1625</v>
      </c>
      <c r="J293" s="649"/>
      <c r="K293" s="649"/>
      <c r="L293" s="651" t="s">
        <v>2140</v>
      </c>
      <c r="M293" s="651"/>
      <c r="N293" s="651"/>
      <c r="O293" s="651" t="s">
        <v>2180</v>
      </c>
      <c r="P293" s="651" t="s">
        <v>2486</v>
      </c>
      <c r="Q293" s="651" t="s">
        <v>1074</v>
      </c>
      <c r="R293" s="651" t="s">
        <v>802</v>
      </c>
      <c r="S293" s="651"/>
    </row>
    <row r="294" spans="1:19">
      <c r="A294" s="649" t="s">
        <v>1636</v>
      </c>
      <c r="B294" s="649" t="s">
        <v>2164</v>
      </c>
      <c r="C294" s="652">
        <v>0</v>
      </c>
      <c r="D294" s="650">
        <v>2599</v>
      </c>
      <c r="E294" s="650">
        <v>0</v>
      </c>
      <c r="F294" s="649">
        <v>0</v>
      </c>
      <c r="G294" s="649">
        <v>2599</v>
      </c>
      <c r="H294" s="649">
        <v>100</v>
      </c>
      <c r="I294" s="649" t="s">
        <v>1625</v>
      </c>
      <c r="J294" s="649"/>
      <c r="K294" s="649"/>
      <c r="L294" s="651" t="s">
        <v>2142</v>
      </c>
      <c r="M294" s="651"/>
      <c r="N294" s="651"/>
      <c r="O294" s="651"/>
      <c r="P294" s="651" t="s">
        <v>819</v>
      </c>
      <c r="Q294" s="651" t="s">
        <v>132</v>
      </c>
      <c r="R294" s="651" t="s">
        <v>133</v>
      </c>
      <c r="S294" s="651"/>
    </row>
    <row r="295" spans="1:19">
      <c r="A295" s="649" t="s">
        <v>1637</v>
      </c>
      <c r="B295" s="649" t="s">
        <v>2164</v>
      </c>
      <c r="C295" s="652">
        <v>18517.95</v>
      </c>
      <c r="D295" s="650">
        <v>20020</v>
      </c>
      <c r="E295" s="650">
        <v>18500</v>
      </c>
      <c r="F295" s="649">
        <v>0</v>
      </c>
      <c r="G295" s="649">
        <v>1502.05</v>
      </c>
      <c r="H295" s="649">
        <v>8</v>
      </c>
      <c r="I295" s="649" t="s">
        <v>1625</v>
      </c>
      <c r="J295" s="649"/>
      <c r="K295" s="649"/>
      <c r="L295" s="651" t="s">
        <v>2143</v>
      </c>
      <c r="M295" s="651"/>
      <c r="N295" s="651"/>
      <c r="O295" s="651"/>
      <c r="P295" s="651" t="s">
        <v>1638</v>
      </c>
      <c r="Q295" s="651" t="s">
        <v>1639</v>
      </c>
      <c r="R295" s="651"/>
      <c r="S295" s="651"/>
    </row>
    <row r="296" spans="1:19">
      <c r="A296" s="649" t="s">
        <v>1640</v>
      </c>
      <c r="B296" s="649" t="s">
        <v>2164</v>
      </c>
      <c r="C296" s="652">
        <v>250</v>
      </c>
      <c r="D296" s="650">
        <v>250</v>
      </c>
      <c r="E296" s="650">
        <v>250</v>
      </c>
      <c r="F296" s="649">
        <v>0</v>
      </c>
      <c r="G296" s="649">
        <v>0</v>
      </c>
      <c r="H296" s="649">
        <v>0</v>
      </c>
      <c r="I296" s="649" t="s">
        <v>1625</v>
      </c>
      <c r="J296" s="649"/>
      <c r="K296" s="649"/>
      <c r="L296" s="651" t="s">
        <v>2146</v>
      </c>
      <c r="M296" s="651"/>
      <c r="N296" s="651"/>
      <c r="O296" s="651"/>
      <c r="P296" s="651" t="s">
        <v>849</v>
      </c>
      <c r="Q296" s="651" t="s">
        <v>780</v>
      </c>
      <c r="R296" s="651" t="s">
        <v>850</v>
      </c>
      <c r="S296" s="651"/>
    </row>
    <row r="297" spans="1:19">
      <c r="A297" s="649" t="s">
        <v>1641</v>
      </c>
      <c r="B297" s="649" t="s">
        <v>2164</v>
      </c>
      <c r="C297" s="652">
        <v>862585.77</v>
      </c>
      <c r="D297" s="650">
        <v>1196366</v>
      </c>
      <c r="E297" s="650">
        <v>-198263.33</v>
      </c>
      <c r="F297" s="649">
        <v>0</v>
      </c>
      <c r="G297" s="649">
        <v>7261.38</v>
      </c>
      <c r="H297" s="649">
        <v>1</v>
      </c>
      <c r="I297" s="649" t="s">
        <v>1625</v>
      </c>
      <c r="J297" s="649"/>
      <c r="K297" s="649"/>
      <c r="L297" s="651" t="s">
        <v>2146</v>
      </c>
      <c r="M297" s="651"/>
      <c r="N297" s="651"/>
      <c r="O297" s="651"/>
      <c r="P297" s="651" t="s">
        <v>141</v>
      </c>
      <c r="Q297" s="651" t="s">
        <v>780</v>
      </c>
      <c r="R297" s="651" t="s">
        <v>142</v>
      </c>
      <c r="S297" s="651"/>
    </row>
    <row r="298" spans="1:19">
      <c r="A298" s="649" t="s">
        <v>1642</v>
      </c>
      <c r="B298" s="649" t="s">
        <v>2164</v>
      </c>
      <c r="C298" s="652">
        <v>181641.19</v>
      </c>
      <c r="D298" s="650">
        <v>182000</v>
      </c>
      <c r="E298" s="650">
        <v>14684.31</v>
      </c>
      <c r="F298" s="649">
        <v>0</v>
      </c>
      <c r="G298" s="649">
        <v>358.81</v>
      </c>
      <c r="H298" s="649">
        <v>0</v>
      </c>
      <c r="I298" s="649" t="s">
        <v>1625</v>
      </c>
      <c r="J298" s="649"/>
      <c r="K298" s="649"/>
      <c r="L298" s="651" t="s">
        <v>2146</v>
      </c>
      <c r="M298" s="651"/>
      <c r="N298" s="651"/>
      <c r="O298" s="651"/>
      <c r="P298" s="651" t="s">
        <v>253</v>
      </c>
      <c r="Q298" s="651" t="s">
        <v>780</v>
      </c>
      <c r="R298" s="651" t="s">
        <v>254</v>
      </c>
      <c r="S298" s="651"/>
    </row>
    <row r="299" spans="1:19">
      <c r="A299" s="649" t="s">
        <v>1643</v>
      </c>
      <c r="B299" s="649" t="s">
        <v>2164</v>
      </c>
      <c r="C299" s="652">
        <v>0</v>
      </c>
      <c r="D299" s="650">
        <v>0</v>
      </c>
      <c r="E299" s="650">
        <v>0</v>
      </c>
      <c r="F299" s="649">
        <v>0</v>
      </c>
      <c r="G299" s="649">
        <v>0</v>
      </c>
      <c r="H299" s="649">
        <v>0</v>
      </c>
      <c r="I299" s="649" t="s">
        <v>1625</v>
      </c>
      <c r="J299" s="649"/>
      <c r="K299" s="649"/>
      <c r="L299" s="651" t="s">
        <v>2146</v>
      </c>
      <c r="M299" s="651"/>
      <c r="N299" s="651"/>
      <c r="O299" s="651"/>
      <c r="P299" s="651" t="s">
        <v>1644</v>
      </c>
      <c r="Q299" s="651" t="s">
        <v>1074</v>
      </c>
      <c r="R299" s="651" t="s">
        <v>1645</v>
      </c>
      <c r="S299" s="651"/>
    </row>
    <row r="300" spans="1:19">
      <c r="A300" s="649" t="s">
        <v>1646</v>
      </c>
      <c r="B300" s="649" t="s">
        <v>2164</v>
      </c>
      <c r="C300" s="652">
        <v>105213.69</v>
      </c>
      <c r="D300" s="650">
        <v>106000</v>
      </c>
      <c r="E300" s="650">
        <v>-29111.07</v>
      </c>
      <c r="F300" s="649">
        <v>0</v>
      </c>
      <c r="G300" s="649">
        <v>786.31</v>
      </c>
      <c r="H300" s="649">
        <v>1</v>
      </c>
      <c r="I300" s="649" t="s">
        <v>1625</v>
      </c>
      <c r="J300" s="649"/>
      <c r="K300" s="649"/>
      <c r="L300" s="651" t="s">
        <v>2146</v>
      </c>
      <c r="M300" s="651"/>
      <c r="N300" s="651"/>
      <c r="O300" s="651"/>
      <c r="P300" s="651" t="s">
        <v>1647</v>
      </c>
      <c r="Q300" s="651"/>
      <c r="R300" s="651"/>
      <c r="S300" s="651"/>
    </row>
    <row r="301" spans="1:19">
      <c r="A301" s="649" t="s">
        <v>1648</v>
      </c>
      <c r="B301" s="649" t="s">
        <v>2164</v>
      </c>
      <c r="C301" s="652">
        <v>15385.03</v>
      </c>
      <c r="D301" s="650">
        <v>18750</v>
      </c>
      <c r="E301" s="650">
        <v>0</v>
      </c>
      <c r="F301" s="649">
        <v>0</v>
      </c>
      <c r="G301" s="649">
        <v>3364.97</v>
      </c>
      <c r="H301" s="649">
        <v>18</v>
      </c>
      <c r="I301" s="649" t="s">
        <v>1625</v>
      </c>
      <c r="J301" s="649"/>
      <c r="K301" s="649"/>
      <c r="L301" s="651" t="s">
        <v>2146</v>
      </c>
      <c r="M301" s="651"/>
      <c r="N301" s="651"/>
      <c r="O301" s="651"/>
      <c r="P301" s="651" t="s">
        <v>63</v>
      </c>
      <c r="Q301" s="651" t="s">
        <v>780</v>
      </c>
      <c r="R301" s="651" t="s">
        <v>64</v>
      </c>
      <c r="S301" s="651"/>
    </row>
    <row r="302" spans="1:19">
      <c r="A302" s="649" t="s">
        <v>1649</v>
      </c>
      <c r="B302" s="649" t="s">
        <v>2164</v>
      </c>
      <c r="C302" s="652">
        <v>9097.61</v>
      </c>
      <c r="D302" s="650">
        <v>16000</v>
      </c>
      <c r="E302" s="650">
        <v>-2679.17</v>
      </c>
      <c r="F302" s="649">
        <v>0</v>
      </c>
      <c r="G302" s="649">
        <v>6902.39</v>
      </c>
      <c r="H302" s="649">
        <v>43</v>
      </c>
      <c r="I302" s="649" t="s">
        <v>1625</v>
      </c>
      <c r="J302" s="649"/>
      <c r="K302" s="649"/>
      <c r="L302" s="651" t="s">
        <v>2146</v>
      </c>
      <c r="M302" s="651"/>
      <c r="N302" s="651"/>
      <c r="O302" s="651"/>
      <c r="P302" s="651" t="s">
        <v>66</v>
      </c>
      <c r="Q302" s="651" t="s">
        <v>1074</v>
      </c>
      <c r="R302" s="651" t="s">
        <v>67</v>
      </c>
      <c r="S302" s="651"/>
    </row>
    <row r="303" spans="1:19">
      <c r="A303" s="649" t="s">
        <v>1650</v>
      </c>
      <c r="B303" s="649" t="s">
        <v>2164</v>
      </c>
      <c r="C303" s="652">
        <v>0</v>
      </c>
      <c r="D303" s="650">
        <v>0</v>
      </c>
      <c r="E303" s="650">
        <v>0</v>
      </c>
      <c r="F303" s="649">
        <v>0</v>
      </c>
      <c r="G303" s="649">
        <v>0</v>
      </c>
      <c r="H303" s="649">
        <v>0</v>
      </c>
      <c r="I303" s="649" t="s">
        <v>1625</v>
      </c>
      <c r="J303" s="649">
        <f>SUM(C284:C303)</f>
        <v>1433110.47</v>
      </c>
      <c r="K303" s="649"/>
      <c r="L303" s="651" t="s">
        <v>2146</v>
      </c>
      <c r="M303" s="651"/>
      <c r="N303" s="651"/>
      <c r="O303" s="651"/>
      <c r="P303" s="651" t="s">
        <v>1651</v>
      </c>
      <c r="Q303" s="651" t="s">
        <v>1652</v>
      </c>
      <c r="R303" s="651"/>
      <c r="S303" s="651"/>
    </row>
    <row r="304" spans="1:19">
      <c r="A304" s="649" t="s">
        <v>1653</v>
      </c>
      <c r="B304" s="649" t="s">
        <v>1758</v>
      </c>
      <c r="C304" s="652">
        <v>0</v>
      </c>
      <c r="D304" s="650">
        <v>0</v>
      </c>
      <c r="E304" s="650">
        <v>652.39</v>
      </c>
      <c r="F304" s="649">
        <v>0</v>
      </c>
      <c r="G304" s="649">
        <v>0</v>
      </c>
      <c r="H304" s="649">
        <v>0</v>
      </c>
      <c r="I304" s="649" t="s">
        <v>773</v>
      </c>
      <c r="J304" s="649"/>
      <c r="K304" s="649"/>
      <c r="L304" s="651"/>
      <c r="M304" s="651"/>
      <c r="N304" s="651"/>
      <c r="O304" s="651"/>
      <c r="P304" s="651" t="s">
        <v>769</v>
      </c>
      <c r="Q304" s="651" t="s">
        <v>689</v>
      </c>
      <c r="R304" s="651"/>
      <c r="S304" s="651"/>
    </row>
    <row r="305" spans="1:19">
      <c r="A305" s="649" t="s">
        <v>1654</v>
      </c>
      <c r="B305" s="649" t="s">
        <v>1758</v>
      </c>
      <c r="C305" s="652">
        <v>176421.36</v>
      </c>
      <c r="D305" s="650">
        <v>177000</v>
      </c>
      <c r="E305" s="650">
        <v>14655.03</v>
      </c>
      <c r="F305" s="649">
        <v>0</v>
      </c>
      <c r="G305" s="649">
        <v>578.64</v>
      </c>
      <c r="H305" s="649">
        <v>0</v>
      </c>
      <c r="I305" s="649" t="s">
        <v>1625</v>
      </c>
      <c r="J305" s="649"/>
      <c r="K305" s="649"/>
      <c r="L305" s="651" t="s">
        <v>2140</v>
      </c>
      <c r="M305" s="651"/>
      <c r="N305" s="651"/>
      <c r="O305" s="651" t="s">
        <v>2180</v>
      </c>
      <c r="P305" s="651" t="s">
        <v>103</v>
      </c>
      <c r="Q305" s="651" t="s">
        <v>104</v>
      </c>
      <c r="R305" s="651" t="s">
        <v>1074</v>
      </c>
      <c r="S305" s="651" t="s">
        <v>105</v>
      </c>
    </row>
    <row r="306" spans="1:19">
      <c r="A306" s="649" t="s">
        <v>1655</v>
      </c>
      <c r="B306" s="649" t="s">
        <v>1758</v>
      </c>
      <c r="C306" s="652">
        <v>14706.03</v>
      </c>
      <c r="D306" s="650">
        <v>14806</v>
      </c>
      <c r="E306" s="650">
        <v>0</v>
      </c>
      <c r="F306" s="649">
        <v>0</v>
      </c>
      <c r="G306" s="649">
        <v>99.97</v>
      </c>
      <c r="H306" s="649">
        <v>1</v>
      </c>
      <c r="I306" s="649" t="s">
        <v>1625</v>
      </c>
      <c r="J306" s="649"/>
      <c r="K306" s="649"/>
      <c r="L306" s="651" t="s">
        <v>2140</v>
      </c>
      <c r="M306" s="651"/>
      <c r="N306" s="651"/>
      <c r="O306" s="651" t="s">
        <v>2180</v>
      </c>
      <c r="P306" s="651" t="s">
        <v>77</v>
      </c>
      <c r="Q306" s="651" t="s">
        <v>110</v>
      </c>
      <c r="R306" s="651" t="s">
        <v>1074</v>
      </c>
      <c r="S306" s="651" t="s">
        <v>111</v>
      </c>
    </row>
    <row r="307" spans="1:19">
      <c r="A307" s="649" t="s">
        <v>1656</v>
      </c>
      <c r="B307" s="649" t="s">
        <v>1758</v>
      </c>
      <c r="C307" s="652">
        <v>24504.48</v>
      </c>
      <c r="D307" s="650">
        <v>24604</v>
      </c>
      <c r="E307" s="650">
        <v>2042.04</v>
      </c>
      <c r="F307" s="649">
        <v>0</v>
      </c>
      <c r="G307" s="649">
        <v>99.52</v>
      </c>
      <c r="H307" s="649">
        <v>0</v>
      </c>
      <c r="I307" s="649" t="s">
        <v>1625</v>
      </c>
      <c r="J307" s="649"/>
      <c r="K307" s="649"/>
      <c r="L307" s="651" t="s">
        <v>2140</v>
      </c>
      <c r="M307" s="651"/>
      <c r="N307" s="651"/>
      <c r="O307" s="651" t="s">
        <v>2180</v>
      </c>
      <c r="P307" s="651" t="s">
        <v>713</v>
      </c>
      <c r="Q307" s="651" t="s">
        <v>3445</v>
      </c>
      <c r="R307" s="651" t="s">
        <v>1074</v>
      </c>
      <c r="S307" s="651"/>
    </row>
    <row r="308" spans="1:19">
      <c r="A308" s="649" t="s">
        <v>1657</v>
      </c>
      <c r="B308" s="649" t="s">
        <v>1758</v>
      </c>
      <c r="C308" s="652">
        <v>0</v>
      </c>
      <c r="D308" s="650">
        <v>0</v>
      </c>
      <c r="E308" s="650">
        <v>0</v>
      </c>
      <c r="F308" s="649">
        <v>0</v>
      </c>
      <c r="G308" s="649">
        <v>0</v>
      </c>
      <c r="H308" s="649">
        <v>0</v>
      </c>
      <c r="I308" s="649" t="s">
        <v>1625</v>
      </c>
      <c r="J308" s="649"/>
      <c r="K308" s="649"/>
      <c r="L308" s="651" t="s">
        <v>2140</v>
      </c>
      <c r="M308" s="651"/>
      <c r="N308" s="651"/>
      <c r="O308" s="651" t="s">
        <v>2180</v>
      </c>
      <c r="P308" s="651" t="s">
        <v>915</v>
      </c>
      <c r="Q308" s="651" t="s">
        <v>114</v>
      </c>
      <c r="R308" s="651" t="s">
        <v>1074</v>
      </c>
      <c r="S308" s="651" t="s">
        <v>115</v>
      </c>
    </row>
    <row r="309" spans="1:19">
      <c r="A309" s="649" t="s">
        <v>1658</v>
      </c>
      <c r="B309" s="649" t="s">
        <v>1758</v>
      </c>
      <c r="C309" s="652">
        <v>7068</v>
      </c>
      <c r="D309" s="650">
        <v>7000</v>
      </c>
      <c r="E309" s="650">
        <v>624</v>
      </c>
      <c r="F309" s="649">
        <v>0</v>
      </c>
      <c r="G309" s="649">
        <v>-68</v>
      </c>
      <c r="H309" s="649">
        <v>-1</v>
      </c>
      <c r="I309" s="649" t="s">
        <v>1625</v>
      </c>
      <c r="J309" s="649"/>
      <c r="K309" s="649"/>
      <c r="L309" s="651" t="s">
        <v>2140</v>
      </c>
      <c r="M309" s="651"/>
      <c r="N309" s="651"/>
      <c r="O309" s="651" t="s">
        <v>1770</v>
      </c>
      <c r="P309" s="651" t="s">
        <v>1101</v>
      </c>
      <c r="Q309" s="651" t="s">
        <v>805</v>
      </c>
      <c r="R309" s="651"/>
      <c r="S309" s="651"/>
    </row>
    <row r="310" spans="1:19">
      <c r="A310" s="649" t="s">
        <v>1659</v>
      </c>
      <c r="B310" s="649" t="s">
        <v>1758</v>
      </c>
      <c r="C310" s="652">
        <v>75065.759999999995</v>
      </c>
      <c r="D310" s="650">
        <v>75800</v>
      </c>
      <c r="E310" s="650">
        <v>6255.48</v>
      </c>
      <c r="F310" s="649">
        <v>0</v>
      </c>
      <c r="G310" s="649">
        <v>734.24</v>
      </c>
      <c r="H310" s="649">
        <v>1</v>
      </c>
      <c r="I310" s="649" t="s">
        <v>1625</v>
      </c>
      <c r="J310" s="649"/>
      <c r="K310" s="649"/>
      <c r="L310" s="651" t="s">
        <v>2140</v>
      </c>
      <c r="M310" s="651"/>
      <c r="N310" s="651"/>
      <c r="O310" s="651" t="s">
        <v>2180</v>
      </c>
      <c r="P310" s="651" t="s">
        <v>118</v>
      </c>
      <c r="Q310" s="651" t="s">
        <v>805</v>
      </c>
      <c r="R310" s="651"/>
      <c r="S310" s="651"/>
    </row>
    <row r="311" spans="1:19">
      <c r="A311" s="649" t="s">
        <v>1660</v>
      </c>
      <c r="B311" s="649" t="s">
        <v>1758</v>
      </c>
      <c r="C311" s="652">
        <v>22868.15</v>
      </c>
      <c r="D311" s="650">
        <v>22900</v>
      </c>
      <c r="E311" s="650">
        <v>2382.19</v>
      </c>
      <c r="F311" s="649">
        <v>0</v>
      </c>
      <c r="G311" s="649">
        <v>31.85</v>
      </c>
      <c r="H311" s="649">
        <v>0</v>
      </c>
      <c r="I311" s="649" t="s">
        <v>1625</v>
      </c>
      <c r="J311" s="649"/>
      <c r="K311" s="649"/>
      <c r="L311" s="651" t="s">
        <v>2140</v>
      </c>
      <c r="M311" s="651"/>
      <c r="N311" s="651"/>
      <c r="O311" s="651" t="s">
        <v>2178</v>
      </c>
      <c r="P311" s="651" t="s">
        <v>816</v>
      </c>
      <c r="Q311" s="651" t="s">
        <v>1074</v>
      </c>
      <c r="R311" s="651" t="s">
        <v>796</v>
      </c>
      <c r="S311" s="651" t="s">
        <v>797</v>
      </c>
    </row>
    <row r="312" spans="1:19">
      <c r="A312" s="649" t="s">
        <v>1661</v>
      </c>
      <c r="B312" s="649" t="s">
        <v>1758</v>
      </c>
      <c r="C312" s="652">
        <v>38823.96</v>
      </c>
      <c r="D312" s="650">
        <v>39000</v>
      </c>
      <c r="E312" s="650">
        <v>3235.33</v>
      </c>
      <c r="F312" s="649">
        <v>0</v>
      </c>
      <c r="G312" s="649">
        <v>176.04</v>
      </c>
      <c r="H312" s="649">
        <v>0</v>
      </c>
      <c r="I312" s="649" t="s">
        <v>1625</v>
      </c>
      <c r="J312" s="649"/>
      <c r="K312" s="649"/>
      <c r="L312" s="651" t="s">
        <v>2140</v>
      </c>
      <c r="M312" s="651"/>
      <c r="N312" s="651"/>
      <c r="O312" s="651" t="s">
        <v>2181</v>
      </c>
      <c r="P312" s="651" t="s">
        <v>816</v>
      </c>
      <c r="Q312" s="651" t="s">
        <v>1074</v>
      </c>
      <c r="R312" s="651" t="s">
        <v>124</v>
      </c>
      <c r="S312" s="651" t="s">
        <v>125</v>
      </c>
    </row>
    <row r="313" spans="1:19">
      <c r="A313" s="649" t="s">
        <v>1662</v>
      </c>
      <c r="B313" s="649" t="s">
        <v>1758</v>
      </c>
      <c r="C313" s="652">
        <v>1472.88</v>
      </c>
      <c r="D313" s="650">
        <v>1500</v>
      </c>
      <c r="E313" s="650">
        <v>124.78</v>
      </c>
      <c r="F313" s="649">
        <v>0</v>
      </c>
      <c r="G313" s="649">
        <v>27.12</v>
      </c>
      <c r="H313" s="649">
        <v>2</v>
      </c>
      <c r="I313" s="649" t="s">
        <v>1625</v>
      </c>
      <c r="J313" s="649"/>
      <c r="K313" s="649"/>
      <c r="L313" s="651" t="s">
        <v>2140</v>
      </c>
      <c r="M313" s="651"/>
      <c r="N313" s="651"/>
      <c r="O313" s="651" t="s">
        <v>1827</v>
      </c>
      <c r="P313" s="651" t="s">
        <v>816</v>
      </c>
      <c r="Q313" s="651" t="s">
        <v>1074</v>
      </c>
      <c r="R313" s="651" t="s">
        <v>793</v>
      </c>
      <c r="S313" s="651"/>
    </row>
    <row r="314" spans="1:19">
      <c r="A314" s="649" t="s">
        <v>1840</v>
      </c>
      <c r="B314" s="649" t="s">
        <v>1758</v>
      </c>
      <c r="C314" s="652">
        <v>4464.72</v>
      </c>
      <c r="D314" s="650">
        <v>4500</v>
      </c>
      <c r="E314" s="650">
        <v>372.06</v>
      </c>
      <c r="F314" s="649">
        <v>0</v>
      </c>
      <c r="G314" s="649">
        <v>35.28</v>
      </c>
      <c r="H314" s="649">
        <v>1</v>
      </c>
      <c r="I314" s="649" t="s">
        <v>1625</v>
      </c>
      <c r="J314" s="649"/>
      <c r="K314" s="649"/>
      <c r="L314" s="651" t="s">
        <v>2140</v>
      </c>
      <c r="M314" s="651"/>
      <c r="N314" s="651"/>
      <c r="O314" s="651" t="s">
        <v>2182</v>
      </c>
      <c r="P314" s="651" t="s">
        <v>792</v>
      </c>
      <c r="Q314" s="651" t="s">
        <v>1074</v>
      </c>
      <c r="R314" s="651" t="s">
        <v>394</v>
      </c>
      <c r="S314" s="651"/>
    </row>
    <row r="315" spans="1:19">
      <c r="A315" s="649" t="s">
        <v>1841</v>
      </c>
      <c r="B315" s="649" t="s">
        <v>1758</v>
      </c>
      <c r="C315" s="652">
        <v>38.4</v>
      </c>
      <c r="D315" s="650">
        <v>40</v>
      </c>
      <c r="E315" s="650">
        <v>3.2</v>
      </c>
      <c r="F315" s="649">
        <v>0</v>
      </c>
      <c r="G315" s="649">
        <v>1.6</v>
      </c>
      <c r="H315" s="649">
        <v>4</v>
      </c>
      <c r="I315" s="649" t="s">
        <v>1625</v>
      </c>
      <c r="J315" s="649"/>
      <c r="K315" s="649"/>
      <c r="L315" s="651" t="s">
        <v>2140</v>
      </c>
      <c r="M315" s="651"/>
      <c r="N315" s="651"/>
      <c r="O315" s="651" t="s">
        <v>2180</v>
      </c>
      <c r="P315" s="651" t="s">
        <v>2486</v>
      </c>
      <c r="Q315" s="651" t="s">
        <v>1074</v>
      </c>
      <c r="R315" s="651" t="s">
        <v>802</v>
      </c>
      <c r="S315" s="651"/>
    </row>
    <row r="316" spans="1:19">
      <c r="A316" s="649" t="s">
        <v>1842</v>
      </c>
      <c r="B316" s="649" t="s">
        <v>1758</v>
      </c>
      <c r="C316" s="652">
        <v>0</v>
      </c>
      <c r="D316" s="650">
        <v>5519</v>
      </c>
      <c r="E316" s="650">
        <v>0</v>
      </c>
      <c r="F316" s="649">
        <v>0</v>
      </c>
      <c r="G316" s="649">
        <v>5519</v>
      </c>
      <c r="H316" s="649">
        <v>100</v>
      </c>
      <c r="I316" s="649" t="s">
        <v>1625</v>
      </c>
      <c r="J316" s="649"/>
      <c r="K316" s="649"/>
      <c r="L316" s="651" t="s">
        <v>2142</v>
      </c>
      <c r="M316" s="651"/>
      <c r="N316" s="651"/>
      <c r="O316" s="651"/>
      <c r="P316" s="651" t="s">
        <v>819</v>
      </c>
      <c r="Q316" s="651" t="s">
        <v>132</v>
      </c>
      <c r="R316" s="651" t="s">
        <v>133</v>
      </c>
      <c r="S316" s="651"/>
    </row>
    <row r="317" spans="1:19">
      <c r="A317" s="649" t="s">
        <v>1843</v>
      </c>
      <c r="B317" s="649" t="s">
        <v>1758</v>
      </c>
      <c r="C317" s="652">
        <v>0</v>
      </c>
      <c r="D317" s="650">
        <v>0</v>
      </c>
      <c r="E317" s="650">
        <v>0</v>
      </c>
      <c r="F317" s="649">
        <v>0</v>
      </c>
      <c r="G317" s="649">
        <v>0</v>
      </c>
      <c r="H317" s="649">
        <v>0</v>
      </c>
      <c r="I317" s="649" t="s">
        <v>1625</v>
      </c>
      <c r="J317" s="649"/>
      <c r="K317" s="649"/>
      <c r="L317" s="651" t="s">
        <v>2143</v>
      </c>
      <c r="M317" s="651"/>
      <c r="N317" s="651"/>
      <c r="O317" s="651"/>
      <c r="P317" s="651" t="s">
        <v>825</v>
      </c>
      <c r="Q317" s="651" t="s">
        <v>780</v>
      </c>
      <c r="R317" s="651" t="s">
        <v>826</v>
      </c>
      <c r="S317" s="651"/>
    </row>
    <row r="318" spans="1:19">
      <c r="A318" s="649" t="s">
        <v>1844</v>
      </c>
      <c r="B318" s="649" t="s">
        <v>1758</v>
      </c>
      <c r="C318" s="652">
        <v>0</v>
      </c>
      <c r="D318" s="650">
        <v>0</v>
      </c>
      <c r="E318" s="650">
        <v>0</v>
      </c>
      <c r="F318" s="649">
        <v>0</v>
      </c>
      <c r="G318" s="649">
        <v>0</v>
      </c>
      <c r="H318" s="649">
        <v>0</v>
      </c>
      <c r="I318" s="649" t="s">
        <v>1625</v>
      </c>
      <c r="J318" s="649"/>
      <c r="K318" s="649"/>
      <c r="L318" s="651" t="s">
        <v>2143</v>
      </c>
      <c r="M318" s="651"/>
      <c r="N318" s="651"/>
      <c r="O318" s="651"/>
      <c r="P318" s="651" t="s">
        <v>750</v>
      </c>
      <c r="Q318" s="651" t="s">
        <v>137</v>
      </c>
      <c r="R318" s="651" t="s">
        <v>1074</v>
      </c>
      <c r="S318" s="651" t="s">
        <v>278</v>
      </c>
    </row>
    <row r="319" spans="1:19">
      <c r="A319" s="649" t="s">
        <v>1845</v>
      </c>
      <c r="B319" s="649" t="s">
        <v>1758</v>
      </c>
      <c r="C319" s="652">
        <v>0</v>
      </c>
      <c r="D319" s="650">
        <v>0</v>
      </c>
      <c r="E319" s="650">
        <v>0</v>
      </c>
      <c r="F319" s="649">
        <v>0</v>
      </c>
      <c r="G319" s="649">
        <v>0</v>
      </c>
      <c r="H319" s="649">
        <v>0</v>
      </c>
      <c r="I319" s="649" t="s">
        <v>1625</v>
      </c>
      <c r="J319" s="649"/>
      <c r="K319" s="649"/>
      <c r="L319" s="651" t="s">
        <v>2146</v>
      </c>
      <c r="M319" s="651"/>
      <c r="N319" s="651"/>
      <c r="O319" s="651"/>
      <c r="P319" s="651" t="s">
        <v>849</v>
      </c>
      <c r="Q319" s="651" t="s">
        <v>780</v>
      </c>
      <c r="R319" s="651" t="s">
        <v>850</v>
      </c>
      <c r="S319" s="651"/>
    </row>
    <row r="320" spans="1:19">
      <c r="A320" s="649" t="s">
        <v>1846</v>
      </c>
      <c r="B320" s="649" t="s">
        <v>1758</v>
      </c>
      <c r="C320" s="652">
        <v>0</v>
      </c>
      <c r="D320" s="650">
        <v>0</v>
      </c>
      <c r="E320" s="650">
        <v>0</v>
      </c>
      <c r="F320" s="649">
        <v>0</v>
      </c>
      <c r="G320" s="649">
        <v>0</v>
      </c>
      <c r="H320" s="649">
        <v>0</v>
      </c>
      <c r="I320" s="649" t="s">
        <v>1625</v>
      </c>
      <c r="J320" s="649"/>
      <c r="K320" s="649"/>
      <c r="L320" s="651" t="s">
        <v>2146</v>
      </c>
      <c r="M320" s="651"/>
      <c r="N320" s="651"/>
      <c r="O320" s="651"/>
      <c r="P320" s="651" t="s">
        <v>856</v>
      </c>
      <c r="Q320" s="651" t="s">
        <v>857</v>
      </c>
      <c r="R320" s="651"/>
      <c r="S320" s="651"/>
    </row>
    <row r="321" spans="1:19">
      <c r="A321" s="649" t="s">
        <v>1847</v>
      </c>
      <c r="B321" s="649" t="s">
        <v>1758</v>
      </c>
      <c r="C321" s="652">
        <v>6430</v>
      </c>
      <c r="D321" s="650">
        <v>6450</v>
      </c>
      <c r="E321" s="650">
        <v>900</v>
      </c>
      <c r="F321" s="649">
        <v>0</v>
      </c>
      <c r="G321" s="649">
        <v>20</v>
      </c>
      <c r="H321" s="649">
        <v>0</v>
      </c>
      <c r="I321" s="649" t="s">
        <v>1625</v>
      </c>
      <c r="J321" s="649"/>
      <c r="K321" s="649"/>
      <c r="L321" s="651" t="s">
        <v>2146</v>
      </c>
      <c r="M321" s="651"/>
      <c r="N321" s="651"/>
      <c r="O321" s="651"/>
      <c r="P321" s="651" t="s">
        <v>1848</v>
      </c>
      <c r="Q321" s="651" t="s">
        <v>1849</v>
      </c>
      <c r="R321" s="651"/>
      <c r="S321" s="651"/>
    </row>
    <row r="322" spans="1:19">
      <c r="A322" s="649" t="s">
        <v>1850</v>
      </c>
      <c r="B322" s="649" t="s">
        <v>1758</v>
      </c>
      <c r="C322" s="652">
        <v>43.98</v>
      </c>
      <c r="D322" s="650">
        <v>60</v>
      </c>
      <c r="E322" s="650">
        <v>0</v>
      </c>
      <c r="F322" s="649">
        <v>0</v>
      </c>
      <c r="G322" s="649">
        <v>16.02</v>
      </c>
      <c r="H322" s="649">
        <v>27</v>
      </c>
      <c r="I322" s="649" t="s">
        <v>1625</v>
      </c>
      <c r="J322" s="649"/>
      <c r="K322" s="649"/>
      <c r="L322" s="651" t="s">
        <v>2146</v>
      </c>
      <c r="M322" s="651"/>
      <c r="N322" s="651"/>
      <c r="O322" s="651"/>
      <c r="P322" s="651" t="s">
        <v>1851</v>
      </c>
      <c r="Q322" s="651" t="s">
        <v>1852</v>
      </c>
      <c r="R322" s="651"/>
      <c r="S322" s="651"/>
    </row>
    <row r="323" spans="1:19">
      <c r="A323" s="649" t="s">
        <v>1853</v>
      </c>
      <c r="B323" s="649" t="s">
        <v>1758</v>
      </c>
      <c r="C323" s="652">
        <v>0</v>
      </c>
      <c r="D323" s="650">
        <v>0</v>
      </c>
      <c r="E323" s="650">
        <v>0</v>
      </c>
      <c r="F323" s="649">
        <v>0</v>
      </c>
      <c r="G323" s="649">
        <v>0</v>
      </c>
      <c r="H323" s="649">
        <v>0</v>
      </c>
      <c r="I323" s="649" t="s">
        <v>1625</v>
      </c>
      <c r="J323" s="649"/>
      <c r="K323" s="649"/>
      <c r="L323" s="651" t="s">
        <v>2146</v>
      </c>
      <c r="M323" s="651"/>
      <c r="N323" s="651"/>
      <c r="O323" s="651"/>
      <c r="P323" s="651" t="s">
        <v>1854</v>
      </c>
      <c r="Q323" s="651"/>
      <c r="R323" s="651"/>
      <c r="S323" s="651"/>
    </row>
    <row r="324" spans="1:19">
      <c r="A324" s="649" t="s">
        <v>1855</v>
      </c>
      <c r="B324" s="649" t="s">
        <v>1758</v>
      </c>
      <c r="C324" s="652">
        <v>8026.36</v>
      </c>
      <c r="D324" s="650">
        <v>8100</v>
      </c>
      <c r="E324" s="650">
        <v>918</v>
      </c>
      <c r="F324" s="649">
        <v>0</v>
      </c>
      <c r="G324" s="649">
        <v>73.64</v>
      </c>
      <c r="H324" s="649">
        <v>1</v>
      </c>
      <c r="I324" s="649" t="s">
        <v>1625</v>
      </c>
      <c r="J324" s="649"/>
      <c r="K324" s="649"/>
      <c r="L324" s="651" t="s">
        <v>2146</v>
      </c>
      <c r="M324" s="651"/>
      <c r="N324" s="651"/>
      <c r="O324" s="651"/>
      <c r="P324" s="651" t="s">
        <v>1856</v>
      </c>
      <c r="Q324" s="651" t="s">
        <v>1857</v>
      </c>
      <c r="R324" s="651"/>
      <c r="S324" s="651"/>
    </row>
    <row r="325" spans="1:19">
      <c r="A325" s="649" t="s">
        <v>1858</v>
      </c>
      <c r="B325" s="649" t="s">
        <v>1758</v>
      </c>
      <c r="C325" s="652">
        <v>0</v>
      </c>
      <c r="D325" s="650">
        <v>0</v>
      </c>
      <c r="E325" s="650">
        <v>0</v>
      </c>
      <c r="F325" s="649">
        <v>0</v>
      </c>
      <c r="G325" s="649">
        <v>0</v>
      </c>
      <c r="H325" s="649">
        <v>0</v>
      </c>
      <c r="I325" s="649" t="s">
        <v>1625</v>
      </c>
      <c r="J325" s="649"/>
      <c r="K325" s="649"/>
      <c r="L325" s="651" t="s">
        <v>2146</v>
      </c>
      <c r="M325" s="651"/>
      <c r="N325" s="651"/>
      <c r="O325" s="651"/>
      <c r="P325" s="651" t="s">
        <v>1859</v>
      </c>
      <c r="Q325" s="651"/>
      <c r="R325" s="651"/>
      <c r="S325" s="651"/>
    </row>
    <row r="326" spans="1:19">
      <c r="A326" s="649" t="s">
        <v>1860</v>
      </c>
      <c r="B326" s="649" t="s">
        <v>1758</v>
      </c>
      <c r="C326" s="652">
        <v>0</v>
      </c>
      <c r="D326" s="650">
        <v>0</v>
      </c>
      <c r="E326" s="650">
        <v>0</v>
      </c>
      <c r="F326" s="649">
        <v>0</v>
      </c>
      <c r="G326" s="649">
        <v>0</v>
      </c>
      <c r="H326" s="649">
        <v>0</v>
      </c>
      <c r="I326" s="649" t="s">
        <v>1625</v>
      </c>
      <c r="J326" s="649"/>
      <c r="K326" s="649"/>
      <c r="L326" s="651" t="s">
        <v>2146</v>
      </c>
      <c r="M326" s="651"/>
      <c r="N326" s="651"/>
      <c r="O326" s="651"/>
      <c r="P326" s="651" t="s">
        <v>1861</v>
      </c>
      <c r="Q326" s="651" t="s">
        <v>1862</v>
      </c>
      <c r="R326" s="651"/>
      <c r="S326" s="651"/>
    </row>
    <row r="327" spans="1:19">
      <c r="A327" s="649" t="s">
        <v>1863</v>
      </c>
      <c r="B327" s="649" t="s">
        <v>1758</v>
      </c>
      <c r="C327" s="652">
        <v>39615.4</v>
      </c>
      <c r="D327" s="650">
        <v>39650</v>
      </c>
      <c r="E327" s="650">
        <v>543.4</v>
      </c>
      <c r="F327" s="649">
        <v>0</v>
      </c>
      <c r="G327" s="649">
        <v>34.6</v>
      </c>
      <c r="H327" s="649">
        <v>0</v>
      </c>
      <c r="I327" s="649" t="s">
        <v>1625</v>
      </c>
      <c r="J327" s="649"/>
      <c r="K327" s="649"/>
      <c r="L327" s="651" t="s">
        <v>2146</v>
      </c>
      <c r="M327" s="651"/>
      <c r="N327" s="651"/>
      <c r="O327" s="651"/>
      <c r="P327" s="651" t="s">
        <v>3248</v>
      </c>
      <c r="Q327" s="651"/>
      <c r="R327" s="651"/>
      <c r="S327" s="651"/>
    </row>
    <row r="328" spans="1:19">
      <c r="A328" s="649" t="s">
        <v>1864</v>
      </c>
      <c r="B328" s="649" t="s">
        <v>1758</v>
      </c>
      <c r="C328" s="652">
        <v>0</v>
      </c>
      <c r="D328" s="650">
        <v>0</v>
      </c>
      <c r="E328" s="650">
        <v>0</v>
      </c>
      <c r="F328" s="649">
        <v>0</v>
      </c>
      <c r="G328" s="649">
        <v>0</v>
      </c>
      <c r="H328" s="649">
        <v>0</v>
      </c>
      <c r="I328" s="649" t="s">
        <v>1625</v>
      </c>
      <c r="J328" s="649"/>
      <c r="K328" s="649"/>
      <c r="L328" s="651" t="s">
        <v>2146</v>
      </c>
      <c r="M328" s="651"/>
      <c r="N328" s="651"/>
      <c r="O328" s="651"/>
      <c r="P328" s="651" t="s">
        <v>878</v>
      </c>
      <c r="Q328" s="651" t="s">
        <v>780</v>
      </c>
      <c r="R328" s="651" t="s">
        <v>879</v>
      </c>
      <c r="S328" s="651"/>
    </row>
    <row r="329" spans="1:19">
      <c r="A329" s="649" t="s">
        <v>1865</v>
      </c>
      <c r="B329" s="649" t="s">
        <v>1758</v>
      </c>
      <c r="C329" s="652">
        <v>4168.29</v>
      </c>
      <c r="D329" s="650">
        <v>4200</v>
      </c>
      <c r="E329" s="650">
        <v>467.47</v>
      </c>
      <c r="F329" s="649">
        <v>0</v>
      </c>
      <c r="G329" s="649">
        <v>31.71</v>
      </c>
      <c r="H329" s="649">
        <v>1</v>
      </c>
      <c r="I329" s="649" t="s">
        <v>1625</v>
      </c>
      <c r="J329" s="649"/>
      <c r="K329" s="649"/>
      <c r="L329" s="651" t="s">
        <v>2146</v>
      </c>
      <c r="M329" s="651"/>
      <c r="N329" s="651"/>
      <c r="O329" s="651"/>
      <c r="P329" s="651" t="s">
        <v>881</v>
      </c>
      <c r="Q329" s="651" t="s">
        <v>780</v>
      </c>
      <c r="R329" s="651" t="s">
        <v>882</v>
      </c>
      <c r="S329" s="651"/>
    </row>
    <row r="330" spans="1:19">
      <c r="A330" s="649" t="s">
        <v>1866</v>
      </c>
      <c r="B330" s="649" t="s">
        <v>1758</v>
      </c>
      <c r="C330" s="652">
        <v>295.8</v>
      </c>
      <c r="D330" s="650">
        <v>400</v>
      </c>
      <c r="E330" s="650">
        <v>0</v>
      </c>
      <c r="F330" s="649">
        <v>0</v>
      </c>
      <c r="G330" s="649">
        <v>104.2</v>
      </c>
      <c r="H330" s="649">
        <v>26</v>
      </c>
      <c r="I330" s="649" t="s">
        <v>1625</v>
      </c>
      <c r="J330" s="649"/>
      <c r="K330" s="649"/>
      <c r="L330" s="651" t="s">
        <v>2146</v>
      </c>
      <c r="M330" s="651"/>
      <c r="N330" s="651"/>
      <c r="O330" s="651"/>
      <c r="P330" s="651" t="s">
        <v>333</v>
      </c>
      <c r="Q330" s="651" t="s">
        <v>334</v>
      </c>
      <c r="R330" s="651"/>
      <c r="S330" s="651"/>
    </row>
    <row r="331" spans="1:19">
      <c r="A331" s="649" t="s">
        <v>1867</v>
      </c>
      <c r="B331" s="649" t="s">
        <v>1758</v>
      </c>
      <c r="C331" s="652">
        <v>30840.7</v>
      </c>
      <c r="D331" s="650">
        <v>30900</v>
      </c>
      <c r="E331" s="650">
        <v>5156.66</v>
      </c>
      <c r="F331" s="649">
        <v>0</v>
      </c>
      <c r="G331" s="649">
        <v>59.3</v>
      </c>
      <c r="H331" s="649">
        <v>0</v>
      </c>
      <c r="I331" s="649" t="s">
        <v>1625</v>
      </c>
      <c r="J331" s="649"/>
      <c r="K331" s="649"/>
      <c r="L331" s="651" t="s">
        <v>2146</v>
      </c>
      <c r="M331" s="651"/>
      <c r="N331" s="651"/>
      <c r="O331" s="651"/>
      <c r="P331" s="651" t="s">
        <v>63</v>
      </c>
      <c r="Q331" s="651" t="s">
        <v>780</v>
      </c>
      <c r="R331" s="651" t="s">
        <v>64</v>
      </c>
      <c r="S331" s="651"/>
    </row>
    <row r="332" spans="1:19">
      <c r="A332" s="649" t="s">
        <v>1868</v>
      </c>
      <c r="B332" s="649" t="s">
        <v>1758</v>
      </c>
      <c r="C332" s="652">
        <v>0</v>
      </c>
      <c r="D332" s="650">
        <v>1300</v>
      </c>
      <c r="E332" s="650">
        <v>0</v>
      </c>
      <c r="F332" s="649">
        <v>0</v>
      </c>
      <c r="G332" s="649">
        <v>1300</v>
      </c>
      <c r="H332" s="649">
        <v>100</v>
      </c>
      <c r="I332" s="649" t="s">
        <v>1625</v>
      </c>
      <c r="J332" s="649"/>
      <c r="K332" s="649"/>
      <c r="L332" s="651" t="s">
        <v>2146</v>
      </c>
      <c r="M332" s="651"/>
      <c r="N332" s="651"/>
      <c r="O332" s="651"/>
      <c r="P332" s="651" t="s">
        <v>66</v>
      </c>
      <c r="Q332" s="651" t="s">
        <v>1074</v>
      </c>
      <c r="R332" s="651" t="s">
        <v>67</v>
      </c>
      <c r="S332" s="651"/>
    </row>
    <row r="333" spans="1:19">
      <c r="A333" s="649" t="s">
        <v>1869</v>
      </c>
      <c r="B333" s="649" t="s">
        <v>1758</v>
      </c>
      <c r="C333" s="652">
        <v>9628.0499999999993</v>
      </c>
      <c r="D333" s="650">
        <v>9924</v>
      </c>
      <c r="E333" s="650">
        <v>2422.86</v>
      </c>
      <c r="F333" s="649">
        <v>0</v>
      </c>
      <c r="G333" s="649">
        <v>295.95</v>
      </c>
      <c r="H333" s="649">
        <v>3</v>
      </c>
      <c r="I333" s="649" t="s">
        <v>1625</v>
      </c>
      <c r="J333" s="649"/>
      <c r="K333" s="649"/>
      <c r="L333" s="651" t="s">
        <v>2146</v>
      </c>
      <c r="M333" s="651"/>
      <c r="N333" s="651"/>
      <c r="O333" s="651"/>
      <c r="P333" s="651" t="s">
        <v>66</v>
      </c>
      <c r="Q333" s="651" t="s">
        <v>1074</v>
      </c>
      <c r="R333" s="651" t="s">
        <v>69</v>
      </c>
      <c r="S333" s="651"/>
    </row>
    <row r="334" spans="1:19">
      <c r="A334" s="649" t="s">
        <v>1870</v>
      </c>
      <c r="B334" s="649" t="s">
        <v>1758</v>
      </c>
      <c r="C334" s="652">
        <v>0</v>
      </c>
      <c r="D334" s="650">
        <v>0</v>
      </c>
      <c r="E334" s="650">
        <v>0</v>
      </c>
      <c r="F334" s="649">
        <v>0</v>
      </c>
      <c r="G334" s="649">
        <v>0</v>
      </c>
      <c r="H334" s="649">
        <v>0</v>
      </c>
      <c r="I334" s="649" t="s">
        <v>1625</v>
      </c>
      <c r="J334" s="649"/>
      <c r="K334" s="649"/>
      <c r="L334" s="651" t="s">
        <v>2146</v>
      </c>
      <c r="M334" s="651"/>
      <c r="N334" s="651"/>
      <c r="O334" s="651"/>
      <c r="P334" s="651" t="s">
        <v>77</v>
      </c>
      <c r="Q334" s="651" t="s">
        <v>796</v>
      </c>
      <c r="R334" s="651" t="s">
        <v>1871</v>
      </c>
      <c r="S334" s="651"/>
    </row>
    <row r="335" spans="1:19">
      <c r="A335" s="649" t="s">
        <v>1872</v>
      </c>
      <c r="B335" s="649" t="s">
        <v>1758</v>
      </c>
      <c r="C335" s="652">
        <v>1255.3</v>
      </c>
      <c r="D335" s="650">
        <v>1300</v>
      </c>
      <c r="E335" s="650">
        <v>0</v>
      </c>
      <c r="F335" s="649">
        <v>0</v>
      </c>
      <c r="G335" s="649">
        <v>44.7</v>
      </c>
      <c r="H335" s="649">
        <v>3</v>
      </c>
      <c r="I335" s="649" t="s">
        <v>1625</v>
      </c>
      <c r="J335" s="649"/>
      <c r="K335" s="649"/>
      <c r="L335" s="651" t="s">
        <v>2146</v>
      </c>
      <c r="M335" s="651"/>
      <c r="N335" s="651"/>
      <c r="O335" s="651"/>
      <c r="P335" s="651" t="s">
        <v>1873</v>
      </c>
      <c r="Q335" s="651" t="s">
        <v>2338</v>
      </c>
      <c r="R335" s="651" t="s">
        <v>758</v>
      </c>
      <c r="S335" s="651"/>
    </row>
    <row r="336" spans="1:19">
      <c r="A336" s="649" t="s">
        <v>1874</v>
      </c>
      <c r="B336" s="649" t="s">
        <v>1758</v>
      </c>
      <c r="C336" s="652">
        <v>3226</v>
      </c>
      <c r="D336" s="650">
        <v>3300</v>
      </c>
      <c r="E336" s="650">
        <v>0</v>
      </c>
      <c r="F336" s="649">
        <v>0</v>
      </c>
      <c r="G336" s="649">
        <v>74</v>
      </c>
      <c r="H336" s="649">
        <v>2</v>
      </c>
      <c r="I336" s="649" t="s">
        <v>1625</v>
      </c>
      <c r="J336" s="649"/>
      <c r="K336" s="649"/>
      <c r="L336" s="651" t="s">
        <v>2146</v>
      </c>
      <c r="M336" s="651"/>
      <c r="N336" s="651"/>
      <c r="O336" s="651"/>
      <c r="P336" s="651" t="s">
        <v>1875</v>
      </c>
      <c r="Q336" s="651" t="s">
        <v>780</v>
      </c>
      <c r="R336" s="651" t="s">
        <v>1876</v>
      </c>
      <c r="S336" s="651" t="s">
        <v>1877</v>
      </c>
    </row>
    <row r="337" spans="1:19">
      <c r="A337" s="649" t="s">
        <v>1878</v>
      </c>
      <c r="B337" s="649" t="s">
        <v>1758</v>
      </c>
      <c r="C337" s="652">
        <v>0</v>
      </c>
      <c r="D337" s="650">
        <v>0</v>
      </c>
      <c r="E337" s="650">
        <v>0</v>
      </c>
      <c r="F337" s="649">
        <v>0</v>
      </c>
      <c r="G337" s="649">
        <v>0</v>
      </c>
      <c r="H337" s="649">
        <v>0</v>
      </c>
      <c r="I337" s="649" t="s">
        <v>1625</v>
      </c>
      <c r="J337" s="649"/>
      <c r="K337" s="649"/>
      <c r="L337" s="651" t="s">
        <v>2146</v>
      </c>
      <c r="M337" s="651"/>
      <c r="N337" s="651"/>
      <c r="O337" s="651"/>
      <c r="P337" s="651" t="s">
        <v>1879</v>
      </c>
      <c r="Q337" s="651" t="s">
        <v>1880</v>
      </c>
      <c r="R337" s="651"/>
      <c r="S337" s="651"/>
    </row>
    <row r="338" spans="1:19">
      <c r="A338" s="649" t="s">
        <v>1881</v>
      </c>
      <c r="B338" s="649" t="s">
        <v>1758</v>
      </c>
      <c r="C338" s="652">
        <v>0</v>
      </c>
      <c r="D338" s="650">
        <v>0</v>
      </c>
      <c r="E338" s="650">
        <v>0</v>
      </c>
      <c r="F338" s="649">
        <v>0</v>
      </c>
      <c r="G338" s="649">
        <v>0</v>
      </c>
      <c r="H338" s="649">
        <v>0</v>
      </c>
      <c r="I338" s="649" t="s">
        <v>1625</v>
      </c>
      <c r="J338" s="649">
        <f>SUM(C305:C338)</f>
        <v>468963.62</v>
      </c>
      <c r="K338" s="649"/>
      <c r="L338" s="651" t="s">
        <v>2146</v>
      </c>
      <c r="M338" s="651"/>
      <c r="N338" s="651"/>
      <c r="O338" s="651"/>
      <c r="P338" s="651" t="s">
        <v>80</v>
      </c>
      <c r="Q338" s="651" t="s">
        <v>1882</v>
      </c>
      <c r="R338" s="651" t="s">
        <v>1883</v>
      </c>
      <c r="S338" s="651"/>
    </row>
    <row r="339" spans="1:19">
      <c r="A339" s="649" t="s">
        <v>1886</v>
      </c>
      <c r="B339" s="649" t="s">
        <v>2165</v>
      </c>
      <c r="C339" s="652">
        <v>0</v>
      </c>
      <c r="D339" s="650">
        <v>0</v>
      </c>
      <c r="E339" s="650">
        <v>0</v>
      </c>
      <c r="F339" s="649">
        <v>0</v>
      </c>
      <c r="G339" s="649">
        <v>0</v>
      </c>
      <c r="H339" s="649">
        <v>0</v>
      </c>
      <c r="I339" s="649" t="s">
        <v>773</v>
      </c>
      <c r="J339" s="649"/>
      <c r="K339" s="649"/>
      <c r="L339" s="651"/>
      <c r="M339" s="651"/>
      <c r="N339" s="651"/>
      <c r="O339" s="651"/>
      <c r="P339" s="651" t="s">
        <v>1887</v>
      </c>
      <c r="Q339" s="651" t="s">
        <v>1888</v>
      </c>
      <c r="R339" s="651" t="s">
        <v>1074</v>
      </c>
      <c r="S339" s="651" t="s">
        <v>1889</v>
      </c>
    </row>
    <row r="340" spans="1:19">
      <c r="A340" s="649" t="s">
        <v>1890</v>
      </c>
      <c r="B340" s="649" t="s">
        <v>2165</v>
      </c>
      <c r="C340" s="652">
        <v>0</v>
      </c>
      <c r="D340" s="650">
        <v>0</v>
      </c>
      <c r="E340" s="650">
        <v>7321.79</v>
      </c>
      <c r="F340" s="649">
        <v>0</v>
      </c>
      <c r="G340" s="649">
        <v>0</v>
      </c>
      <c r="H340" s="649">
        <v>0</v>
      </c>
      <c r="I340" s="649" t="s">
        <v>773</v>
      </c>
      <c r="J340" s="649"/>
      <c r="K340" s="649"/>
      <c r="L340" s="651"/>
      <c r="M340" s="651"/>
      <c r="N340" s="651"/>
      <c r="O340" s="651"/>
      <c r="P340" s="651" t="s">
        <v>769</v>
      </c>
      <c r="Q340" s="651" t="s">
        <v>689</v>
      </c>
      <c r="R340" s="651"/>
      <c r="S340" s="651"/>
    </row>
    <row r="341" spans="1:19">
      <c r="A341" s="649" t="s">
        <v>1891</v>
      </c>
      <c r="B341" s="649" t="s">
        <v>2165</v>
      </c>
      <c r="C341" s="652">
        <v>-32312.2</v>
      </c>
      <c r="D341" s="650">
        <v>-30324</v>
      </c>
      <c r="E341" s="650">
        <v>-4285.3999999999996</v>
      </c>
      <c r="F341" s="649">
        <v>0</v>
      </c>
      <c r="G341" s="649">
        <v>1988.2</v>
      </c>
      <c r="H341" s="649">
        <v>-7</v>
      </c>
      <c r="I341" s="649" t="s">
        <v>773</v>
      </c>
      <c r="J341" s="649"/>
      <c r="K341" s="649">
        <f>SUM(C339:C341)</f>
        <v>-32312.2</v>
      </c>
      <c r="L341" s="651" t="s">
        <v>1681</v>
      </c>
      <c r="M341" s="651"/>
      <c r="N341" s="651"/>
      <c r="O341" s="651"/>
      <c r="P341" s="651" t="s">
        <v>1644</v>
      </c>
      <c r="Q341" s="651" t="s">
        <v>1074</v>
      </c>
      <c r="R341" s="651" t="s">
        <v>713</v>
      </c>
      <c r="S341" s="651" t="s">
        <v>1892</v>
      </c>
    </row>
    <row r="342" spans="1:19">
      <c r="A342" s="649" t="s">
        <v>1893</v>
      </c>
      <c r="B342" s="649" t="s">
        <v>2165</v>
      </c>
      <c r="C342" s="652">
        <v>1205204.58</v>
      </c>
      <c r="D342" s="650">
        <v>1243100</v>
      </c>
      <c r="E342" s="650">
        <v>112326.05</v>
      </c>
      <c r="F342" s="649">
        <v>0</v>
      </c>
      <c r="G342" s="649">
        <v>37895.42</v>
      </c>
      <c r="H342" s="649">
        <v>3</v>
      </c>
      <c r="I342" s="649" t="s">
        <v>1625</v>
      </c>
      <c r="J342" s="649"/>
      <c r="K342" s="649"/>
      <c r="L342" s="651" t="s">
        <v>2140</v>
      </c>
      <c r="M342" s="651"/>
      <c r="N342" s="651"/>
      <c r="O342" s="651" t="s">
        <v>2180</v>
      </c>
      <c r="P342" s="651" t="s">
        <v>103</v>
      </c>
      <c r="Q342" s="651" t="s">
        <v>104</v>
      </c>
      <c r="R342" s="651" t="s">
        <v>1074</v>
      </c>
      <c r="S342" s="651" t="s">
        <v>105</v>
      </c>
    </row>
    <row r="343" spans="1:19">
      <c r="A343" s="649" t="s">
        <v>1894</v>
      </c>
      <c r="B343" s="649" t="s">
        <v>2165</v>
      </c>
      <c r="C343" s="652">
        <v>161632.22</v>
      </c>
      <c r="D343" s="650">
        <v>161700</v>
      </c>
      <c r="E343" s="650">
        <v>37644.76</v>
      </c>
      <c r="F343" s="649">
        <v>0</v>
      </c>
      <c r="G343" s="649">
        <v>67.78</v>
      </c>
      <c r="H343" s="649">
        <v>0</v>
      </c>
      <c r="I343" s="649" t="s">
        <v>1625</v>
      </c>
      <c r="J343" s="649"/>
      <c r="K343" s="649"/>
      <c r="L343" s="651" t="s">
        <v>2140</v>
      </c>
      <c r="M343" s="651"/>
      <c r="N343" s="651"/>
      <c r="O343" s="651" t="s">
        <v>2180</v>
      </c>
      <c r="P343" s="651" t="s">
        <v>107</v>
      </c>
      <c r="Q343" s="651" t="s">
        <v>1074</v>
      </c>
      <c r="R343" s="651" t="s">
        <v>108</v>
      </c>
      <c r="S343" s="651"/>
    </row>
    <row r="344" spans="1:19">
      <c r="A344" s="649" t="s">
        <v>1895</v>
      </c>
      <c r="B344" s="649" t="s">
        <v>2165</v>
      </c>
      <c r="C344" s="652">
        <v>90946.44</v>
      </c>
      <c r="D344" s="650">
        <v>105156</v>
      </c>
      <c r="E344" s="650">
        <v>3210.07</v>
      </c>
      <c r="F344" s="649">
        <v>0</v>
      </c>
      <c r="G344" s="649">
        <v>14209.56</v>
      </c>
      <c r="H344" s="649">
        <v>14</v>
      </c>
      <c r="I344" s="649" t="s">
        <v>1625</v>
      </c>
      <c r="J344" s="649"/>
      <c r="K344" s="649"/>
      <c r="L344" s="651" t="s">
        <v>2140</v>
      </c>
      <c r="M344" s="651"/>
      <c r="N344" s="651"/>
      <c r="O344" s="651" t="s">
        <v>2180</v>
      </c>
      <c r="P344" s="651" t="s">
        <v>77</v>
      </c>
      <c r="Q344" s="651" t="s">
        <v>110</v>
      </c>
      <c r="R344" s="651" t="s">
        <v>1074</v>
      </c>
      <c r="S344" s="651" t="s">
        <v>111</v>
      </c>
    </row>
    <row r="345" spans="1:19">
      <c r="A345" s="649" t="s">
        <v>1896</v>
      </c>
      <c r="B345" s="649" t="s">
        <v>2165</v>
      </c>
      <c r="C345" s="652">
        <v>0</v>
      </c>
      <c r="D345" s="650">
        <v>0</v>
      </c>
      <c r="E345" s="650">
        <v>0</v>
      </c>
      <c r="F345" s="649">
        <v>0</v>
      </c>
      <c r="G345" s="649">
        <v>0</v>
      </c>
      <c r="H345" s="649">
        <v>0</v>
      </c>
      <c r="I345" s="649" t="s">
        <v>1625</v>
      </c>
      <c r="J345" s="649"/>
      <c r="K345" s="649"/>
      <c r="L345" s="651" t="s">
        <v>2140</v>
      </c>
      <c r="M345" s="651"/>
      <c r="N345" s="651"/>
      <c r="O345" s="651" t="s">
        <v>2180</v>
      </c>
      <c r="P345" s="651" t="s">
        <v>713</v>
      </c>
      <c r="Q345" s="651" t="s">
        <v>3445</v>
      </c>
      <c r="R345" s="651" t="s">
        <v>1074</v>
      </c>
      <c r="S345" s="651"/>
    </row>
    <row r="346" spans="1:19">
      <c r="A346" s="649" t="s">
        <v>1897</v>
      </c>
      <c r="B346" s="649" t="s">
        <v>2165</v>
      </c>
      <c r="C346" s="652">
        <v>0</v>
      </c>
      <c r="D346" s="650">
        <v>0</v>
      </c>
      <c r="E346" s="650">
        <v>0</v>
      </c>
      <c r="F346" s="649">
        <v>0</v>
      </c>
      <c r="G346" s="649">
        <v>0</v>
      </c>
      <c r="H346" s="649">
        <v>0</v>
      </c>
      <c r="I346" s="649" t="s">
        <v>1625</v>
      </c>
      <c r="J346" s="649"/>
      <c r="K346" s="649"/>
      <c r="L346" s="651" t="s">
        <v>2140</v>
      </c>
      <c r="M346" s="651"/>
      <c r="N346" s="651"/>
      <c r="O346" s="651" t="s">
        <v>2180</v>
      </c>
      <c r="P346" s="651" t="s">
        <v>915</v>
      </c>
      <c r="Q346" s="651" t="s">
        <v>114</v>
      </c>
      <c r="R346" s="651" t="s">
        <v>1074</v>
      </c>
      <c r="S346" s="651" t="s">
        <v>115</v>
      </c>
    </row>
    <row r="347" spans="1:19">
      <c r="A347" s="649" t="s">
        <v>1898</v>
      </c>
      <c r="B347" s="649" t="s">
        <v>2165</v>
      </c>
      <c r="C347" s="652">
        <v>0</v>
      </c>
      <c r="D347" s="650">
        <v>0</v>
      </c>
      <c r="E347" s="650">
        <v>0</v>
      </c>
      <c r="F347" s="649">
        <v>0</v>
      </c>
      <c r="G347" s="649">
        <v>0</v>
      </c>
      <c r="H347" s="649">
        <v>0</v>
      </c>
      <c r="I347" s="649" t="s">
        <v>1625</v>
      </c>
      <c r="J347" s="649"/>
      <c r="K347" s="649"/>
      <c r="L347" s="651" t="s">
        <v>2140</v>
      </c>
      <c r="M347" s="651"/>
      <c r="N347" s="651"/>
      <c r="O347" s="651" t="s">
        <v>1770</v>
      </c>
      <c r="P347" s="651" t="s">
        <v>1101</v>
      </c>
      <c r="Q347" s="651" t="s">
        <v>805</v>
      </c>
      <c r="R347" s="651"/>
      <c r="S347" s="651"/>
    </row>
    <row r="348" spans="1:19">
      <c r="A348" s="649" t="s">
        <v>1899</v>
      </c>
      <c r="B348" s="649" t="s">
        <v>2165</v>
      </c>
      <c r="C348" s="652">
        <v>0</v>
      </c>
      <c r="D348" s="650">
        <v>0</v>
      </c>
      <c r="E348" s="650">
        <v>0</v>
      </c>
      <c r="F348" s="649">
        <v>0</v>
      </c>
      <c r="G348" s="649">
        <v>0</v>
      </c>
      <c r="H348" s="649">
        <v>0</v>
      </c>
      <c r="I348" s="649" t="s">
        <v>1625</v>
      </c>
      <c r="J348" s="649"/>
      <c r="K348" s="649"/>
      <c r="L348" s="651" t="s">
        <v>2140</v>
      </c>
      <c r="M348" s="651"/>
      <c r="N348" s="651"/>
      <c r="O348" s="651" t="s">
        <v>2178</v>
      </c>
      <c r="P348" s="651" t="s">
        <v>792</v>
      </c>
      <c r="Q348" s="651" t="s">
        <v>1074</v>
      </c>
      <c r="R348" s="651" t="s">
        <v>239</v>
      </c>
      <c r="S348" s="651"/>
    </row>
    <row r="349" spans="1:19">
      <c r="A349" s="649" t="s">
        <v>1900</v>
      </c>
      <c r="B349" s="649" t="s">
        <v>2165</v>
      </c>
      <c r="C349" s="652">
        <v>263461.74</v>
      </c>
      <c r="D349" s="650">
        <v>263500</v>
      </c>
      <c r="E349" s="650">
        <v>24445.96</v>
      </c>
      <c r="F349" s="649">
        <v>0</v>
      </c>
      <c r="G349" s="649">
        <v>38.26</v>
      </c>
      <c r="H349" s="649">
        <v>0</v>
      </c>
      <c r="I349" s="649" t="s">
        <v>1625</v>
      </c>
      <c r="J349" s="649"/>
      <c r="K349" s="649"/>
      <c r="L349" s="651" t="s">
        <v>2140</v>
      </c>
      <c r="M349" s="651"/>
      <c r="N349" s="651"/>
      <c r="O349" s="651" t="s">
        <v>2181</v>
      </c>
      <c r="P349" s="651" t="s">
        <v>816</v>
      </c>
      <c r="Q349" s="651" t="s">
        <v>1074</v>
      </c>
      <c r="R349" s="651" t="s">
        <v>124</v>
      </c>
      <c r="S349" s="651" t="s">
        <v>125</v>
      </c>
    </row>
    <row r="350" spans="1:19">
      <c r="A350" s="649" t="s">
        <v>1901</v>
      </c>
      <c r="B350" s="649" t="s">
        <v>2165</v>
      </c>
      <c r="C350" s="652">
        <v>14673.55</v>
      </c>
      <c r="D350" s="650">
        <v>15000</v>
      </c>
      <c r="E350" s="650">
        <v>1477.55</v>
      </c>
      <c r="F350" s="649">
        <v>0</v>
      </c>
      <c r="G350" s="649">
        <v>326.45</v>
      </c>
      <c r="H350" s="649">
        <v>2</v>
      </c>
      <c r="I350" s="649" t="s">
        <v>1625</v>
      </c>
      <c r="J350" s="649"/>
      <c r="K350" s="649"/>
      <c r="L350" s="651" t="s">
        <v>2140</v>
      </c>
      <c r="M350" s="651"/>
      <c r="N350" s="651"/>
      <c r="O350" s="651" t="s">
        <v>1827</v>
      </c>
      <c r="P350" s="651" t="s">
        <v>816</v>
      </c>
      <c r="Q350" s="651" t="s">
        <v>1074</v>
      </c>
      <c r="R350" s="651" t="s">
        <v>793</v>
      </c>
      <c r="S350" s="651"/>
    </row>
    <row r="351" spans="1:19">
      <c r="A351" s="649" t="s">
        <v>1902</v>
      </c>
      <c r="B351" s="649" t="s">
        <v>2165</v>
      </c>
      <c r="C351" s="652">
        <v>4534.01</v>
      </c>
      <c r="D351" s="650">
        <v>5000</v>
      </c>
      <c r="E351" s="650">
        <v>507.17</v>
      </c>
      <c r="F351" s="649">
        <v>0</v>
      </c>
      <c r="G351" s="649">
        <v>465.99</v>
      </c>
      <c r="H351" s="649">
        <v>9</v>
      </c>
      <c r="I351" s="649" t="s">
        <v>1625</v>
      </c>
      <c r="J351" s="649"/>
      <c r="K351" s="649"/>
      <c r="L351" s="651" t="s">
        <v>2140</v>
      </c>
      <c r="M351" s="651"/>
      <c r="N351" s="651"/>
      <c r="O351" s="651" t="s">
        <v>2182</v>
      </c>
      <c r="P351" s="651" t="s">
        <v>792</v>
      </c>
      <c r="Q351" s="651" t="s">
        <v>1074</v>
      </c>
      <c r="R351" s="651" t="s">
        <v>394</v>
      </c>
      <c r="S351" s="651"/>
    </row>
    <row r="352" spans="1:19">
      <c r="A352" s="649" t="s">
        <v>1903</v>
      </c>
      <c r="B352" s="649" t="s">
        <v>2165</v>
      </c>
      <c r="C352" s="652">
        <v>1129.5999999999999</v>
      </c>
      <c r="D352" s="650">
        <v>1150</v>
      </c>
      <c r="E352" s="650">
        <v>105.6</v>
      </c>
      <c r="F352" s="649">
        <v>0</v>
      </c>
      <c r="G352" s="649">
        <v>20.399999999999999</v>
      </c>
      <c r="H352" s="649">
        <v>2</v>
      </c>
      <c r="I352" s="649" t="s">
        <v>1625</v>
      </c>
      <c r="J352" s="649"/>
      <c r="K352" s="649"/>
      <c r="L352" s="651" t="s">
        <v>2140</v>
      </c>
      <c r="M352" s="651"/>
      <c r="N352" s="651"/>
      <c r="O352" s="651" t="s">
        <v>2180</v>
      </c>
      <c r="P352" s="651" t="s">
        <v>2486</v>
      </c>
      <c r="Q352" s="651" t="s">
        <v>1074</v>
      </c>
      <c r="R352" s="651" t="s">
        <v>802</v>
      </c>
      <c r="S352" s="651"/>
    </row>
    <row r="353" spans="1:19">
      <c r="A353" s="649" t="s">
        <v>1904</v>
      </c>
      <c r="B353" s="649" t="s">
        <v>2165</v>
      </c>
      <c r="C353" s="652">
        <v>0</v>
      </c>
      <c r="D353" s="650">
        <v>2934</v>
      </c>
      <c r="E353" s="650">
        <v>0</v>
      </c>
      <c r="F353" s="649">
        <v>0</v>
      </c>
      <c r="G353" s="649">
        <v>2934</v>
      </c>
      <c r="H353" s="649">
        <v>100</v>
      </c>
      <c r="I353" s="649" t="s">
        <v>1625</v>
      </c>
      <c r="J353" s="649"/>
      <c r="K353" s="649"/>
      <c r="L353" s="651" t="s">
        <v>2142</v>
      </c>
      <c r="M353" s="651"/>
      <c r="N353" s="651"/>
      <c r="O353" s="651"/>
      <c r="P353" s="651" t="s">
        <v>819</v>
      </c>
      <c r="Q353" s="651" t="s">
        <v>132</v>
      </c>
      <c r="R353" s="651" t="s">
        <v>133</v>
      </c>
      <c r="S353" s="651"/>
    </row>
    <row r="354" spans="1:19">
      <c r="A354" s="649" t="s">
        <v>1905</v>
      </c>
      <c r="B354" s="649" t="s">
        <v>2165</v>
      </c>
      <c r="C354" s="652">
        <v>10717.83</v>
      </c>
      <c r="D354" s="650">
        <v>12300</v>
      </c>
      <c r="E354" s="650">
        <v>1558</v>
      </c>
      <c r="F354" s="649">
        <v>0</v>
      </c>
      <c r="G354" s="649">
        <v>1582.17</v>
      </c>
      <c r="H354" s="649">
        <v>13</v>
      </c>
      <c r="I354" s="649" t="s">
        <v>1625</v>
      </c>
      <c r="J354" s="649"/>
      <c r="K354" s="649"/>
      <c r="L354" s="651" t="s">
        <v>2143</v>
      </c>
      <c r="M354" s="651"/>
      <c r="N354" s="651"/>
      <c r="O354" s="651"/>
      <c r="P354" s="651" t="s">
        <v>825</v>
      </c>
      <c r="Q354" s="651" t="s">
        <v>780</v>
      </c>
      <c r="R354" s="651" t="s">
        <v>826</v>
      </c>
      <c r="S354" s="651"/>
    </row>
    <row r="355" spans="1:19">
      <c r="A355" s="649" t="s">
        <v>1906</v>
      </c>
      <c r="B355" s="649" t="s">
        <v>2165</v>
      </c>
      <c r="C355" s="652">
        <v>761.95</v>
      </c>
      <c r="D355" s="650">
        <v>765</v>
      </c>
      <c r="E355" s="650">
        <v>0</v>
      </c>
      <c r="F355" s="649">
        <v>0</v>
      </c>
      <c r="G355" s="649">
        <v>3.05</v>
      </c>
      <c r="H355" s="649">
        <v>0</v>
      </c>
      <c r="I355" s="649" t="s">
        <v>1625</v>
      </c>
      <c r="J355" s="649"/>
      <c r="K355" s="649"/>
      <c r="L355" s="651" t="s">
        <v>2143</v>
      </c>
      <c r="M355" s="651"/>
      <c r="N355" s="651"/>
      <c r="O355" s="651"/>
      <c r="P355" s="651" t="s">
        <v>750</v>
      </c>
      <c r="Q355" s="651" t="s">
        <v>137</v>
      </c>
      <c r="R355" s="651" t="s">
        <v>1074</v>
      </c>
      <c r="S355" s="651" t="s">
        <v>278</v>
      </c>
    </row>
    <row r="356" spans="1:19">
      <c r="A356" s="649" t="s">
        <v>1907</v>
      </c>
      <c r="B356" s="649" t="s">
        <v>2165</v>
      </c>
      <c r="C356" s="652">
        <v>2501.7800000000002</v>
      </c>
      <c r="D356" s="650">
        <v>3400</v>
      </c>
      <c r="E356" s="650">
        <v>22.8</v>
      </c>
      <c r="F356" s="649">
        <v>0</v>
      </c>
      <c r="G356" s="649">
        <v>898.22</v>
      </c>
      <c r="H356" s="649">
        <v>26</v>
      </c>
      <c r="I356" s="649" t="s">
        <v>1625</v>
      </c>
      <c r="J356" s="649"/>
      <c r="K356" s="649"/>
      <c r="L356" s="651" t="s">
        <v>2143</v>
      </c>
      <c r="M356" s="651"/>
      <c r="N356" s="651"/>
      <c r="O356" s="651"/>
      <c r="P356" s="651" t="s">
        <v>750</v>
      </c>
      <c r="Q356" s="651" t="s">
        <v>137</v>
      </c>
      <c r="R356" s="651" t="s">
        <v>1074</v>
      </c>
      <c r="S356" s="651" t="s">
        <v>1908</v>
      </c>
    </row>
    <row r="357" spans="1:19">
      <c r="A357" s="649" t="s">
        <v>1909</v>
      </c>
      <c r="B357" s="649" t="s">
        <v>2165</v>
      </c>
      <c r="C357" s="652">
        <v>4386.16</v>
      </c>
      <c r="D357" s="650">
        <v>4400</v>
      </c>
      <c r="E357" s="650">
        <v>1280.8499999999999</v>
      </c>
      <c r="F357" s="649">
        <v>0</v>
      </c>
      <c r="G357" s="649">
        <v>13.84</v>
      </c>
      <c r="H357" s="649">
        <v>0</v>
      </c>
      <c r="I357" s="649" t="s">
        <v>1625</v>
      </c>
      <c r="J357" s="649"/>
      <c r="K357" s="649"/>
      <c r="L357" s="651" t="s">
        <v>2146</v>
      </c>
      <c r="M357" s="651"/>
      <c r="N357" s="651"/>
      <c r="O357" s="651"/>
      <c r="P357" s="651" t="s">
        <v>856</v>
      </c>
      <c r="Q357" s="651" t="s">
        <v>857</v>
      </c>
      <c r="R357" s="651"/>
      <c r="S357" s="651"/>
    </row>
    <row r="358" spans="1:19">
      <c r="A358" s="649" t="s">
        <v>1910</v>
      </c>
      <c r="B358" s="649" t="s">
        <v>2165</v>
      </c>
      <c r="C358" s="652">
        <v>24648.79</v>
      </c>
      <c r="D358" s="650">
        <v>25000</v>
      </c>
      <c r="E358" s="650">
        <v>21900.05</v>
      </c>
      <c r="F358" s="649">
        <v>0</v>
      </c>
      <c r="G358" s="649">
        <v>351.21</v>
      </c>
      <c r="H358" s="649">
        <v>1</v>
      </c>
      <c r="I358" s="649" t="s">
        <v>1625</v>
      </c>
      <c r="J358" s="649"/>
      <c r="K358" s="649"/>
      <c r="L358" s="651" t="s">
        <v>2146</v>
      </c>
      <c r="M358" s="651"/>
      <c r="N358" s="651"/>
      <c r="O358" s="651"/>
      <c r="P358" s="651" t="s">
        <v>865</v>
      </c>
      <c r="Q358" s="651" t="s">
        <v>1074</v>
      </c>
      <c r="R358" s="651" t="s">
        <v>3368</v>
      </c>
      <c r="S358" s="651"/>
    </row>
    <row r="359" spans="1:19">
      <c r="A359" s="649" t="s">
        <v>1911</v>
      </c>
      <c r="B359" s="649" t="s">
        <v>2165</v>
      </c>
      <c r="C359" s="652">
        <v>19924.759999999998</v>
      </c>
      <c r="D359" s="650">
        <v>20000</v>
      </c>
      <c r="E359" s="650">
        <v>0</v>
      </c>
      <c r="F359" s="649">
        <v>0</v>
      </c>
      <c r="G359" s="649">
        <v>75.239999999999995</v>
      </c>
      <c r="H359" s="649">
        <v>0</v>
      </c>
      <c r="I359" s="649" t="s">
        <v>1625</v>
      </c>
      <c r="J359" s="649"/>
      <c r="K359" s="649"/>
      <c r="L359" s="651" t="s">
        <v>2146</v>
      </c>
      <c r="M359" s="651"/>
      <c r="N359" s="651"/>
      <c r="O359" s="651"/>
      <c r="P359" s="651" t="s">
        <v>3248</v>
      </c>
      <c r="Q359" s="651"/>
      <c r="R359" s="651"/>
      <c r="S359" s="651"/>
    </row>
    <row r="360" spans="1:19">
      <c r="A360" s="649" t="s">
        <v>1912</v>
      </c>
      <c r="B360" s="649" t="s">
        <v>2165</v>
      </c>
      <c r="C360" s="652">
        <v>2105.12</v>
      </c>
      <c r="D360" s="650">
        <v>2600</v>
      </c>
      <c r="E360" s="650">
        <v>209.3</v>
      </c>
      <c r="F360" s="649">
        <v>0</v>
      </c>
      <c r="G360" s="649">
        <v>494.88</v>
      </c>
      <c r="H360" s="649">
        <v>19</v>
      </c>
      <c r="I360" s="649" t="s">
        <v>1625</v>
      </c>
      <c r="J360" s="649"/>
      <c r="K360" s="649"/>
      <c r="L360" s="651" t="s">
        <v>2146</v>
      </c>
      <c r="M360" s="651"/>
      <c r="N360" s="651"/>
      <c r="O360" s="651"/>
      <c r="P360" s="651" t="s">
        <v>333</v>
      </c>
      <c r="Q360" s="651" t="s">
        <v>334</v>
      </c>
      <c r="R360" s="651"/>
      <c r="S360" s="651"/>
    </row>
    <row r="361" spans="1:19">
      <c r="A361" s="649" t="s">
        <v>1913</v>
      </c>
      <c r="B361" s="649" t="s">
        <v>2165</v>
      </c>
      <c r="C361" s="652">
        <v>38860.379999999997</v>
      </c>
      <c r="D361" s="650">
        <v>38900</v>
      </c>
      <c r="E361" s="650">
        <v>8723.98</v>
      </c>
      <c r="F361" s="649">
        <v>0</v>
      </c>
      <c r="G361" s="649">
        <v>39.619999999999997</v>
      </c>
      <c r="H361" s="649">
        <v>0</v>
      </c>
      <c r="I361" s="649" t="s">
        <v>1625</v>
      </c>
      <c r="J361" s="649"/>
      <c r="K361" s="649"/>
      <c r="L361" s="651" t="s">
        <v>2146</v>
      </c>
      <c r="M361" s="651"/>
      <c r="N361" s="651"/>
      <c r="O361" s="651"/>
      <c r="P361" s="651" t="s">
        <v>63</v>
      </c>
      <c r="Q361" s="651" t="s">
        <v>780</v>
      </c>
      <c r="R361" s="651" t="s">
        <v>64</v>
      </c>
      <c r="S361" s="651"/>
    </row>
    <row r="362" spans="1:19">
      <c r="A362" s="649" t="s">
        <v>1914</v>
      </c>
      <c r="B362" s="649" t="s">
        <v>2165</v>
      </c>
      <c r="C362" s="652">
        <v>0</v>
      </c>
      <c r="D362" s="650">
        <v>0</v>
      </c>
      <c r="E362" s="650">
        <v>0</v>
      </c>
      <c r="F362" s="649">
        <v>0</v>
      </c>
      <c r="G362" s="649">
        <v>0</v>
      </c>
      <c r="H362" s="649">
        <v>0</v>
      </c>
      <c r="I362" s="649" t="s">
        <v>1625</v>
      </c>
      <c r="J362" s="649"/>
      <c r="K362" s="649"/>
      <c r="L362" s="651" t="s">
        <v>2146</v>
      </c>
      <c r="M362" s="651"/>
      <c r="N362" s="651"/>
      <c r="O362" s="651" t="s">
        <v>2147</v>
      </c>
      <c r="P362" s="651" t="s">
        <v>1915</v>
      </c>
      <c r="Q362" s="651" t="s">
        <v>1916</v>
      </c>
      <c r="R362" s="651"/>
      <c r="S362" s="651"/>
    </row>
    <row r="363" spans="1:19">
      <c r="A363" s="649" t="s">
        <v>1917</v>
      </c>
      <c r="B363" s="649" t="s">
        <v>2165</v>
      </c>
      <c r="C363" s="652">
        <v>0</v>
      </c>
      <c r="D363" s="650">
        <v>0</v>
      </c>
      <c r="E363" s="650">
        <v>0</v>
      </c>
      <c r="F363" s="649">
        <v>0</v>
      </c>
      <c r="G363" s="649">
        <v>0</v>
      </c>
      <c r="H363" s="649">
        <v>0</v>
      </c>
      <c r="I363" s="649" t="s">
        <v>1625</v>
      </c>
      <c r="J363" s="649"/>
      <c r="K363" s="649"/>
      <c r="L363" s="651" t="s">
        <v>2146</v>
      </c>
      <c r="M363" s="651"/>
      <c r="N363" s="651"/>
      <c r="O363" s="651" t="s">
        <v>2147</v>
      </c>
      <c r="P363" s="651" t="s">
        <v>363</v>
      </c>
      <c r="Q363" s="651" t="s">
        <v>1884</v>
      </c>
      <c r="R363" s="651"/>
      <c r="S363" s="651"/>
    </row>
    <row r="364" spans="1:19">
      <c r="A364" s="649" t="s">
        <v>1918</v>
      </c>
      <c r="B364" s="649" t="s">
        <v>2165</v>
      </c>
      <c r="C364" s="652">
        <v>0</v>
      </c>
      <c r="D364" s="650">
        <v>0</v>
      </c>
      <c r="E364" s="650">
        <v>0</v>
      </c>
      <c r="F364" s="649">
        <v>0</v>
      </c>
      <c r="G364" s="649">
        <v>0</v>
      </c>
      <c r="H364" s="649">
        <v>0</v>
      </c>
      <c r="I364" s="649" t="s">
        <v>1625</v>
      </c>
      <c r="J364" s="649">
        <f>SUM(C342:C364)</f>
        <v>1845488.9100000001</v>
      </c>
      <c r="K364" s="649"/>
      <c r="L364" s="651" t="s">
        <v>2146</v>
      </c>
      <c r="M364" s="651"/>
      <c r="N364" s="651"/>
      <c r="O364" s="651" t="s">
        <v>2147</v>
      </c>
      <c r="P364" s="651">
        <v>2</v>
      </c>
      <c r="Q364" s="651" t="s">
        <v>359</v>
      </c>
      <c r="R364" s="651" t="s">
        <v>1919</v>
      </c>
      <c r="S364" s="651" t="s">
        <v>1920</v>
      </c>
    </row>
    <row r="365" spans="1:19">
      <c r="A365" s="649" t="s">
        <v>1923</v>
      </c>
      <c r="B365" s="649" t="s">
        <v>2166</v>
      </c>
      <c r="C365" s="652">
        <v>-81850.44</v>
      </c>
      <c r="D365" s="650">
        <v>-85049</v>
      </c>
      <c r="E365" s="650">
        <v>-3814.33</v>
      </c>
      <c r="F365" s="649">
        <v>0</v>
      </c>
      <c r="G365" s="649">
        <v>-3198.56</v>
      </c>
      <c r="H365" s="649">
        <v>4</v>
      </c>
      <c r="I365" s="649" t="s">
        <v>773</v>
      </c>
      <c r="J365" s="649"/>
      <c r="K365" s="649"/>
      <c r="L365" s="651" t="s">
        <v>563</v>
      </c>
      <c r="M365" s="651"/>
      <c r="N365" s="651"/>
      <c r="O365" s="651" t="s">
        <v>42</v>
      </c>
      <c r="P365" s="651" t="s">
        <v>1924</v>
      </c>
      <c r="Q365" s="651" t="s">
        <v>1925</v>
      </c>
      <c r="R365" s="651" t="s">
        <v>1074</v>
      </c>
      <c r="S365" s="651" t="s">
        <v>1926</v>
      </c>
    </row>
    <row r="366" spans="1:19">
      <c r="A366" s="649" t="s">
        <v>1927</v>
      </c>
      <c r="B366" s="649" t="s">
        <v>2166</v>
      </c>
      <c r="C366" s="652">
        <v>0</v>
      </c>
      <c r="D366" s="650">
        <v>0</v>
      </c>
      <c r="E366" s="650">
        <v>1238.7</v>
      </c>
      <c r="F366" s="649">
        <v>0</v>
      </c>
      <c r="G366" s="649">
        <v>0</v>
      </c>
      <c r="H366" s="649">
        <v>0</v>
      </c>
      <c r="I366" s="649" t="s">
        <v>773</v>
      </c>
      <c r="J366" s="649"/>
      <c r="K366" s="649"/>
      <c r="L366" s="651"/>
      <c r="M366" s="651"/>
      <c r="N366" s="651"/>
      <c r="O366" s="651"/>
      <c r="P366" s="651" t="s">
        <v>769</v>
      </c>
      <c r="Q366" s="651" t="s">
        <v>689</v>
      </c>
      <c r="R366" s="651"/>
      <c r="S366" s="651"/>
    </row>
    <row r="367" spans="1:19">
      <c r="A367" s="649" t="s">
        <v>1921</v>
      </c>
      <c r="B367" s="649" t="s">
        <v>2166</v>
      </c>
      <c r="C367" s="652">
        <v>-556645.17000000004</v>
      </c>
      <c r="D367" s="650">
        <v>0</v>
      </c>
      <c r="E367" s="650">
        <v>-556645.17000000004</v>
      </c>
      <c r="F367" s="649">
        <v>0</v>
      </c>
      <c r="G367" s="649">
        <v>556645.17000000004</v>
      </c>
      <c r="H367" s="649">
        <v>9999</v>
      </c>
      <c r="I367" s="649" t="s">
        <v>773</v>
      </c>
      <c r="J367" s="649"/>
      <c r="K367" s="649">
        <f>SUM(C365:C367)</f>
        <v>-638495.6100000001</v>
      </c>
      <c r="L367" s="651" t="s">
        <v>2372</v>
      </c>
      <c r="M367" s="651"/>
      <c r="N367" s="651"/>
      <c r="O367" s="651"/>
      <c r="P367" s="651" t="s">
        <v>779</v>
      </c>
      <c r="Q367" s="651" t="s">
        <v>1074</v>
      </c>
      <c r="R367" s="651" t="s">
        <v>2372</v>
      </c>
      <c r="S367" s="651" t="s">
        <v>1922</v>
      </c>
    </row>
    <row r="368" spans="1:19">
      <c r="A368" s="649" t="s">
        <v>1928</v>
      </c>
      <c r="B368" s="649" t="s">
        <v>2166</v>
      </c>
      <c r="C368" s="652">
        <v>114792.12</v>
      </c>
      <c r="D368" s="650">
        <v>115000</v>
      </c>
      <c r="E368" s="650">
        <v>9322.0499999999993</v>
      </c>
      <c r="F368" s="649">
        <v>0</v>
      </c>
      <c r="G368" s="649">
        <v>207.88</v>
      </c>
      <c r="H368" s="649">
        <v>0</v>
      </c>
      <c r="I368" s="649" t="s">
        <v>1625</v>
      </c>
      <c r="J368" s="649"/>
      <c r="K368" s="649"/>
      <c r="L368" s="651" t="s">
        <v>2140</v>
      </c>
      <c r="M368" s="651"/>
      <c r="N368" s="651"/>
      <c r="O368" s="651" t="s">
        <v>2180</v>
      </c>
      <c r="P368" s="651" t="s">
        <v>103</v>
      </c>
      <c r="Q368" s="651" t="s">
        <v>104</v>
      </c>
      <c r="R368" s="651" t="s">
        <v>1074</v>
      </c>
      <c r="S368" s="651" t="s">
        <v>105</v>
      </c>
    </row>
    <row r="369" spans="1:19">
      <c r="A369" s="649" t="s">
        <v>1929</v>
      </c>
      <c r="B369" s="649" t="s">
        <v>2166</v>
      </c>
      <c r="C369" s="652">
        <v>3466.8</v>
      </c>
      <c r="D369" s="650">
        <v>3500</v>
      </c>
      <c r="E369" s="650">
        <v>693.36</v>
      </c>
      <c r="F369" s="649">
        <v>0</v>
      </c>
      <c r="G369" s="649">
        <v>33.200000000000003</v>
      </c>
      <c r="H369" s="649">
        <v>1</v>
      </c>
      <c r="I369" s="649" t="s">
        <v>1625</v>
      </c>
      <c r="J369" s="649"/>
      <c r="K369" s="649"/>
      <c r="L369" s="651" t="s">
        <v>2140</v>
      </c>
      <c r="M369" s="651"/>
      <c r="N369" s="651"/>
      <c r="O369" s="651" t="s">
        <v>2180</v>
      </c>
      <c r="P369" s="651" t="s">
        <v>107</v>
      </c>
      <c r="Q369" s="651" t="s">
        <v>1074</v>
      </c>
      <c r="R369" s="651" t="s">
        <v>108</v>
      </c>
      <c r="S369" s="651"/>
    </row>
    <row r="370" spans="1:19">
      <c r="A370" s="649" t="s">
        <v>1930</v>
      </c>
      <c r="B370" s="649" t="s">
        <v>2166</v>
      </c>
      <c r="C370" s="652">
        <v>9630.2099999999991</v>
      </c>
      <c r="D370" s="650">
        <v>9730</v>
      </c>
      <c r="E370" s="650">
        <v>0</v>
      </c>
      <c r="F370" s="649">
        <v>0</v>
      </c>
      <c r="G370" s="649">
        <v>99.79</v>
      </c>
      <c r="H370" s="649">
        <v>1</v>
      </c>
      <c r="I370" s="649" t="s">
        <v>1625</v>
      </c>
      <c r="J370" s="649"/>
      <c r="K370" s="649"/>
      <c r="L370" s="651" t="s">
        <v>2140</v>
      </c>
      <c r="M370" s="651"/>
      <c r="N370" s="651"/>
      <c r="O370" s="651" t="s">
        <v>2180</v>
      </c>
      <c r="P370" s="651" t="s">
        <v>77</v>
      </c>
      <c r="Q370" s="651" t="s">
        <v>110</v>
      </c>
      <c r="R370" s="651" t="s">
        <v>1074</v>
      </c>
      <c r="S370" s="651" t="s">
        <v>111</v>
      </c>
    </row>
    <row r="371" spans="1:19">
      <c r="A371" s="649" t="s">
        <v>1931</v>
      </c>
      <c r="B371" s="649" t="s">
        <v>2166</v>
      </c>
      <c r="C371" s="652">
        <v>0</v>
      </c>
      <c r="D371" s="650">
        <v>0</v>
      </c>
      <c r="E371" s="650">
        <v>0</v>
      </c>
      <c r="F371" s="649">
        <v>0</v>
      </c>
      <c r="G371" s="649">
        <v>0</v>
      </c>
      <c r="H371" s="649">
        <v>0</v>
      </c>
      <c r="I371" s="649" t="s">
        <v>1625</v>
      </c>
      <c r="J371" s="649"/>
      <c r="K371" s="649"/>
      <c r="L371" s="651" t="s">
        <v>2140</v>
      </c>
      <c r="M371" s="651"/>
      <c r="N371" s="651"/>
      <c r="O371" s="651" t="s">
        <v>2178</v>
      </c>
      <c r="P371" s="651" t="s">
        <v>792</v>
      </c>
      <c r="Q371" s="651" t="s">
        <v>1074</v>
      </c>
      <c r="R371" s="651" t="s">
        <v>239</v>
      </c>
      <c r="S371" s="651"/>
    </row>
    <row r="372" spans="1:19">
      <c r="A372" s="649" t="s">
        <v>1932</v>
      </c>
      <c r="B372" s="649" t="s">
        <v>2166</v>
      </c>
      <c r="C372" s="652">
        <v>23439.96</v>
      </c>
      <c r="D372" s="650">
        <v>24000</v>
      </c>
      <c r="E372" s="650">
        <v>1953.33</v>
      </c>
      <c r="F372" s="649">
        <v>0</v>
      </c>
      <c r="G372" s="649">
        <v>560.04</v>
      </c>
      <c r="H372" s="649">
        <v>2</v>
      </c>
      <c r="I372" s="649" t="s">
        <v>1625</v>
      </c>
      <c r="J372" s="649"/>
      <c r="K372" s="649"/>
      <c r="L372" s="651" t="s">
        <v>2140</v>
      </c>
      <c r="M372" s="651"/>
      <c r="N372" s="651"/>
      <c r="O372" s="651" t="s">
        <v>2181</v>
      </c>
      <c r="P372" s="651" t="s">
        <v>816</v>
      </c>
      <c r="Q372" s="651" t="s">
        <v>1074</v>
      </c>
      <c r="R372" s="651" t="s">
        <v>124</v>
      </c>
      <c r="S372" s="651" t="s">
        <v>125</v>
      </c>
    </row>
    <row r="373" spans="1:19">
      <c r="A373" s="649" t="s">
        <v>1933</v>
      </c>
      <c r="B373" s="649" t="s">
        <v>2166</v>
      </c>
      <c r="C373" s="652">
        <v>1310.67</v>
      </c>
      <c r="D373" s="650">
        <v>1400</v>
      </c>
      <c r="E373" s="650">
        <v>120.4</v>
      </c>
      <c r="F373" s="649">
        <v>0</v>
      </c>
      <c r="G373" s="649">
        <v>89.33</v>
      </c>
      <c r="H373" s="649">
        <v>6</v>
      </c>
      <c r="I373" s="649" t="s">
        <v>1625</v>
      </c>
      <c r="J373" s="649"/>
      <c r="K373" s="649"/>
      <c r="L373" s="651" t="s">
        <v>2140</v>
      </c>
      <c r="M373" s="651"/>
      <c r="N373" s="651"/>
      <c r="O373" s="651" t="s">
        <v>1827</v>
      </c>
      <c r="P373" s="651" t="s">
        <v>816</v>
      </c>
      <c r="Q373" s="651" t="s">
        <v>1074</v>
      </c>
      <c r="R373" s="651" t="s">
        <v>793</v>
      </c>
      <c r="S373" s="651"/>
    </row>
    <row r="374" spans="1:19">
      <c r="A374" s="649" t="s">
        <v>1934</v>
      </c>
      <c r="B374" s="649" t="s">
        <v>2166</v>
      </c>
      <c r="C374" s="652">
        <v>0</v>
      </c>
      <c r="D374" s="650">
        <v>0</v>
      </c>
      <c r="E374" s="650">
        <v>0</v>
      </c>
      <c r="F374" s="649">
        <v>0</v>
      </c>
      <c r="G374" s="649">
        <v>0</v>
      </c>
      <c r="H374" s="649">
        <v>0</v>
      </c>
      <c r="I374" s="649" t="s">
        <v>1625</v>
      </c>
      <c r="J374" s="649"/>
      <c r="K374" s="649"/>
      <c r="L374" s="651" t="s">
        <v>2140</v>
      </c>
      <c r="M374" s="651"/>
      <c r="N374" s="651"/>
      <c r="O374" s="651" t="s">
        <v>2182</v>
      </c>
      <c r="P374" s="651" t="s">
        <v>816</v>
      </c>
      <c r="Q374" s="651" t="s">
        <v>1074</v>
      </c>
      <c r="R374" s="651" t="s">
        <v>128</v>
      </c>
      <c r="S374" s="651" t="s">
        <v>129</v>
      </c>
    </row>
    <row r="375" spans="1:19">
      <c r="A375" s="649" t="s">
        <v>1935</v>
      </c>
      <c r="B375" s="649" t="s">
        <v>2166</v>
      </c>
      <c r="C375" s="652">
        <v>115.2</v>
      </c>
      <c r="D375" s="650">
        <v>120</v>
      </c>
      <c r="E375" s="650">
        <v>9.6</v>
      </c>
      <c r="F375" s="649">
        <v>0</v>
      </c>
      <c r="G375" s="649">
        <v>4.8</v>
      </c>
      <c r="H375" s="649">
        <v>4</v>
      </c>
      <c r="I375" s="649" t="s">
        <v>1625</v>
      </c>
      <c r="J375" s="649"/>
      <c r="K375" s="649"/>
      <c r="L375" s="651" t="s">
        <v>2140</v>
      </c>
      <c r="M375" s="651"/>
      <c r="N375" s="651"/>
      <c r="O375" s="651" t="s">
        <v>2180</v>
      </c>
      <c r="P375" s="651" t="s">
        <v>2486</v>
      </c>
      <c r="Q375" s="651" t="s">
        <v>1074</v>
      </c>
      <c r="R375" s="651" t="s">
        <v>802</v>
      </c>
      <c r="S375" s="651"/>
    </row>
    <row r="376" spans="1:19">
      <c r="A376" s="649" t="s">
        <v>1936</v>
      </c>
      <c r="B376" s="649" t="s">
        <v>2166</v>
      </c>
      <c r="C376" s="652">
        <v>0</v>
      </c>
      <c r="D376" s="650">
        <v>1729</v>
      </c>
      <c r="E376" s="650">
        <v>0</v>
      </c>
      <c r="F376" s="649">
        <v>0</v>
      </c>
      <c r="G376" s="649">
        <v>1729</v>
      </c>
      <c r="H376" s="649">
        <v>100</v>
      </c>
      <c r="I376" s="649" t="s">
        <v>1625</v>
      </c>
      <c r="J376" s="649"/>
      <c r="K376" s="649"/>
      <c r="L376" s="651" t="s">
        <v>2142</v>
      </c>
      <c r="M376" s="651"/>
      <c r="N376" s="651"/>
      <c r="O376" s="651"/>
      <c r="P376" s="651" t="s">
        <v>819</v>
      </c>
      <c r="Q376" s="651" t="s">
        <v>132</v>
      </c>
      <c r="R376" s="651" t="s">
        <v>133</v>
      </c>
      <c r="S376" s="651"/>
    </row>
    <row r="377" spans="1:19">
      <c r="A377" s="649" t="s">
        <v>1937</v>
      </c>
      <c r="B377" s="649" t="s">
        <v>2166</v>
      </c>
      <c r="C377" s="652">
        <v>2671.35</v>
      </c>
      <c r="D377" s="650">
        <v>3500</v>
      </c>
      <c r="E377" s="650">
        <v>-160.74</v>
      </c>
      <c r="F377" s="649">
        <v>0</v>
      </c>
      <c r="G377" s="649">
        <v>828.65</v>
      </c>
      <c r="H377" s="649">
        <v>24</v>
      </c>
      <c r="I377" s="649" t="s">
        <v>1625</v>
      </c>
      <c r="J377" s="649"/>
      <c r="K377" s="649"/>
      <c r="L377" s="651" t="s">
        <v>2143</v>
      </c>
      <c r="M377" s="651"/>
      <c r="N377" s="651"/>
      <c r="O377" s="651"/>
      <c r="P377" s="651" t="s">
        <v>750</v>
      </c>
      <c r="Q377" s="651" t="s">
        <v>137</v>
      </c>
      <c r="R377" s="651" t="s">
        <v>1074</v>
      </c>
      <c r="S377" s="651" t="s">
        <v>278</v>
      </c>
    </row>
    <row r="378" spans="1:19">
      <c r="A378" s="649" t="s">
        <v>1938</v>
      </c>
      <c r="B378" s="649" t="s">
        <v>2166</v>
      </c>
      <c r="C378" s="652">
        <v>1531.53</v>
      </c>
      <c r="D378" s="650">
        <v>1600</v>
      </c>
      <c r="E378" s="650">
        <v>352.17</v>
      </c>
      <c r="F378" s="649">
        <v>0</v>
      </c>
      <c r="G378" s="649">
        <v>68.47</v>
      </c>
      <c r="H378" s="649">
        <v>4</v>
      </c>
      <c r="I378" s="649" t="s">
        <v>1625</v>
      </c>
      <c r="J378" s="649"/>
      <c r="K378" s="649"/>
      <c r="L378" s="651" t="s">
        <v>2146</v>
      </c>
      <c r="M378" s="651"/>
      <c r="N378" s="651"/>
      <c r="O378" s="651"/>
      <c r="P378" s="651" t="s">
        <v>856</v>
      </c>
      <c r="Q378" s="651" t="s">
        <v>857</v>
      </c>
      <c r="R378" s="651"/>
      <c r="S378" s="651"/>
    </row>
    <row r="379" spans="1:19">
      <c r="A379" s="649" t="s">
        <v>1939</v>
      </c>
      <c r="B379" s="649" t="s">
        <v>2166</v>
      </c>
      <c r="C379" s="652">
        <v>3993.12</v>
      </c>
      <c r="D379" s="650">
        <v>4000</v>
      </c>
      <c r="E379" s="650">
        <v>0</v>
      </c>
      <c r="F379" s="649">
        <v>0</v>
      </c>
      <c r="G379" s="649">
        <v>6.88</v>
      </c>
      <c r="H379" s="649">
        <v>0</v>
      </c>
      <c r="I379" s="649" t="s">
        <v>1625</v>
      </c>
      <c r="J379" s="649"/>
      <c r="K379" s="649"/>
      <c r="L379" s="651" t="s">
        <v>2146</v>
      </c>
      <c r="M379" s="651"/>
      <c r="N379" s="651"/>
      <c r="O379" s="651"/>
      <c r="P379" s="651" t="s">
        <v>3248</v>
      </c>
      <c r="Q379" s="651"/>
      <c r="R379" s="651"/>
      <c r="S379" s="651"/>
    </row>
    <row r="380" spans="1:19">
      <c r="A380" s="649" t="s">
        <v>1940</v>
      </c>
      <c r="B380" s="649" t="s">
        <v>2166</v>
      </c>
      <c r="C380" s="652">
        <v>0</v>
      </c>
      <c r="D380" s="650">
        <v>0</v>
      </c>
      <c r="E380" s="650">
        <v>0</v>
      </c>
      <c r="F380" s="649">
        <v>0</v>
      </c>
      <c r="G380" s="649">
        <v>0</v>
      </c>
      <c r="H380" s="649">
        <v>0</v>
      </c>
      <c r="I380" s="649" t="s">
        <v>1625</v>
      </c>
      <c r="J380" s="649"/>
      <c r="K380" s="649"/>
      <c r="L380" s="651" t="s">
        <v>2146</v>
      </c>
      <c r="M380" s="651"/>
      <c r="N380" s="651"/>
      <c r="O380" s="651"/>
      <c r="P380" s="651" t="s">
        <v>333</v>
      </c>
      <c r="Q380" s="651" t="s">
        <v>334</v>
      </c>
      <c r="R380" s="651"/>
      <c r="S380" s="651"/>
    </row>
    <row r="381" spans="1:19">
      <c r="A381" s="649" t="s">
        <v>1941</v>
      </c>
      <c r="B381" s="649" t="s">
        <v>2166</v>
      </c>
      <c r="C381" s="652">
        <v>3227.86</v>
      </c>
      <c r="D381" s="650">
        <v>4500</v>
      </c>
      <c r="E381" s="650">
        <v>0</v>
      </c>
      <c r="F381" s="649">
        <v>0</v>
      </c>
      <c r="G381" s="649">
        <v>1272.1400000000001</v>
      </c>
      <c r="H381" s="649">
        <v>28</v>
      </c>
      <c r="I381" s="649" t="s">
        <v>1625</v>
      </c>
      <c r="J381" s="649"/>
      <c r="K381" s="649"/>
      <c r="L381" s="651" t="s">
        <v>2146</v>
      </c>
      <c r="M381" s="651"/>
      <c r="N381" s="651"/>
      <c r="O381" s="651"/>
      <c r="P381" s="651" t="s">
        <v>3251</v>
      </c>
      <c r="Q381" s="651"/>
      <c r="R381" s="651"/>
      <c r="S381" s="651"/>
    </row>
    <row r="382" spans="1:19">
      <c r="A382" s="649" t="s">
        <v>1942</v>
      </c>
      <c r="B382" s="649" t="s">
        <v>2166</v>
      </c>
      <c r="C382" s="652">
        <v>0</v>
      </c>
      <c r="D382" s="650">
        <v>0</v>
      </c>
      <c r="E382" s="650">
        <v>0</v>
      </c>
      <c r="F382" s="649">
        <v>0</v>
      </c>
      <c r="G382" s="649">
        <v>0</v>
      </c>
      <c r="H382" s="649">
        <v>0</v>
      </c>
      <c r="I382" s="649" t="s">
        <v>1625</v>
      </c>
      <c r="J382" s="649"/>
      <c r="K382" s="649"/>
      <c r="L382" s="651" t="s">
        <v>2146</v>
      </c>
      <c r="M382" s="651"/>
      <c r="N382" s="651"/>
      <c r="O382" s="651" t="s">
        <v>2147</v>
      </c>
      <c r="P382" s="651" t="s">
        <v>3220</v>
      </c>
      <c r="Q382" s="651" t="s">
        <v>780</v>
      </c>
      <c r="R382" s="651" t="s">
        <v>1943</v>
      </c>
      <c r="S382" s="651" t="s">
        <v>1944</v>
      </c>
    </row>
    <row r="383" spans="1:19">
      <c r="A383" s="649" t="s">
        <v>1945</v>
      </c>
      <c r="B383" s="649" t="s">
        <v>2166</v>
      </c>
      <c r="C383" s="652">
        <v>0</v>
      </c>
      <c r="D383" s="650">
        <v>1716645</v>
      </c>
      <c r="E383" s="650">
        <v>605046.04</v>
      </c>
      <c r="F383" s="649">
        <v>0</v>
      </c>
      <c r="G383" s="649">
        <v>1111598.96</v>
      </c>
      <c r="H383" s="649">
        <v>65</v>
      </c>
      <c r="I383" s="649" t="s">
        <v>1625</v>
      </c>
      <c r="J383" s="649"/>
      <c r="K383" s="649"/>
      <c r="L383" s="651" t="s">
        <v>2146</v>
      </c>
      <c r="M383" s="651"/>
      <c r="N383" s="651"/>
      <c r="O383" s="651" t="s">
        <v>2147</v>
      </c>
      <c r="P383" s="651" t="s">
        <v>1946</v>
      </c>
      <c r="Q383" s="651" t="s">
        <v>2338</v>
      </c>
      <c r="R383" s="651" t="s">
        <v>1947</v>
      </c>
      <c r="S383" s="651"/>
    </row>
    <row r="384" spans="1:19">
      <c r="A384" s="649" t="s">
        <v>1948</v>
      </c>
      <c r="B384" s="649" t="s">
        <v>2166</v>
      </c>
      <c r="C384" s="652">
        <v>0</v>
      </c>
      <c r="D384" s="650">
        <v>0</v>
      </c>
      <c r="E384" s="650">
        <v>0</v>
      </c>
      <c r="F384" s="649">
        <v>0</v>
      </c>
      <c r="G384" s="649">
        <v>0</v>
      </c>
      <c r="H384" s="649">
        <v>0</v>
      </c>
      <c r="I384" s="649" t="s">
        <v>1625</v>
      </c>
      <c r="J384" s="649"/>
      <c r="K384" s="649"/>
      <c r="L384" s="651" t="s">
        <v>2146</v>
      </c>
      <c r="M384" s="651"/>
      <c r="N384" s="651"/>
      <c r="O384" s="651" t="s">
        <v>2147</v>
      </c>
      <c r="P384" s="651" t="s">
        <v>3252</v>
      </c>
      <c r="Q384" s="651"/>
      <c r="R384" s="651"/>
      <c r="S384" s="651"/>
    </row>
    <row r="385" spans="1:19">
      <c r="A385" s="649" t="s">
        <v>1949</v>
      </c>
      <c r="B385" s="649" t="s">
        <v>2166</v>
      </c>
      <c r="C385" s="652">
        <v>0</v>
      </c>
      <c r="D385" s="650">
        <v>-1716645</v>
      </c>
      <c r="E385" s="650">
        <v>0</v>
      </c>
      <c r="F385" s="649">
        <v>0</v>
      </c>
      <c r="G385" s="649">
        <v>-1716645</v>
      </c>
      <c r="H385" s="649">
        <v>100</v>
      </c>
      <c r="I385" s="649" t="s">
        <v>1625</v>
      </c>
      <c r="J385" s="649">
        <f>SUM(C368:C385)</f>
        <v>164178.82</v>
      </c>
      <c r="K385" s="649"/>
      <c r="L385" s="651" t="s">
        <v>2146</v>
      </c>
      <c r="M385" s="651"/>
      <c r="N385" s="651"/>
      <c r="O385" s="651" t="s">
        <v>2147</v>
      </c>
      <c r="P385" s="651" t="s">
        <v>1946</v>
      </c>
      <c r="Q385" s="651" t="s">
        <v>2338</v>
      </c>
      <c r="R385" s="651" t="s">
        <v>1947</v>
      </c>
      <c r="S385" s="651"/>
    </row>
    <row r="386" spans="1:19">
      <c r="A386" s="649" t="s">
        <v>1951</v>
      </c>
      <c r="B386" s="649" t="s">
        <v>2167</v>
      </c>
      <c r="C386" s="652">
        <v>-3910829.34</v>
      </c>
      <c r="D386" s="650">
        <v>-4348479</v>
      </c>
      <c r="E386" s="650">
        <v>3990.07</v>
      </c>
      <c r="F386" s="649">
        <v>0</v>
      </c>
      <c r="G386" s="649">
        <v>-437649.66</v>
      </c>
      <c r="H386" s="649">
        <v>10</v>
      </c>
      <c r="I386" s="649" t="s">
        <v>773</v>
      </c>
      <c r="J386" s="649"/>
      <c r="K386" s="649">
        <f>+C386</f>
        <v>-3910829.34</v>
      </c>
      <c r="L386" s="651" t="s">
        <v>35</v>
      </c>
      <c r="M386" s="651"/>
      <c r="N386" s="651"/>
      <c r="O386" s="651"/>
      <c r="P386" s="651" t="s">
        <v>3254</v>
      </c>
      <c r="Q386" s="651" t="s">
        <v>382</v>
      </c>
      <c r="R386" s="651"/>
      <c r="S386" s="651"/>
    </row>
    <row r="387" spans="1:19">
      <c r="A387" s="649" t="s">
        <v>1952</v>
      </c>
      <c r="B387" s="649" t="s">
        <v>2167</v>
      </c>
      <c r="C387" s="652">
        <v>0</v>
      </c>
      <c r="D387" s="650">
        <v>0</v>
      </c>
      <c r="E387" s="650">
        <v>0</v>
      </c>
      <c r="F387" s="649">
        <v>0</v>
      </c>
      <c r="G387" s="649">
        <v>0</v>
      </c>
      <c r="H387" s="649">
        <v>0</v>
      </c>
      <c r="I387" s="649" t="s">
        <v>773</v>
      </c>
      <c r="J387" s="649"/>
      <c r="K387" s="649"/>
      <c r="L387" s="651"/>
      <c r="M387" s="651"/>
      <c r="N387" s="651"/>
      <c r="O387" s="651"/>
      <c r="P387" s="651" t="s">
        <v>3441</v>
      </c>
      <c r="Q387" s="651" t="s">
        <v>1953</v>
      </c>
      <c r="R387" s="651"/>
      <c r="S387" s="651"/>
    </row>
    <row r="388" spans="1:19">
      <c r="A388" s="649" t="s">
        <v>1954</v>
      </c>
      <c r="B388" s="649" t="s">
        <v>2167</v>
      </c>
      <c r="C388" s="652">
        <v>0</v>
      </c>
      <c r="D388" s="650">
        <v>0</v>
      </c>
      <c r="E388" s="650">
        <v>9671.4</v>
      </c>
      <c r="F388" s="649">
        <v>0</v>
      </c>
      <c r="G388" s="649">
        <v>0</v>
      </c>
      <c r="H388" s="649">
        <v>0</v>
      </c>
      <c r="I388" s="649" t="s">
        <v>773</v>
      </c>
      <c r="J388" s="649"/>
      <c r="K388" s="649"/>
      <c r="L388" s="651"/>
      <c r="M388" s="651"/>
      <c r="N388" s="651"/>
      <c r="O388" s="651"/>
      <c r="P388" s="651" t="s">
        <v>769</v>
      </c>
      <c r="Q388" s="651" t="s">
        <v>689</v>
      </c>
      <c r="R388" s="651"/>
      <c r="S388" s="651"/>
    </row>
    <row r="389" spans="1:19">
      <c r="A389" s="649" t="s">
        <v>1955</v>
      </c>
      <c r="B389" s="649" t="s">
        <v>2167</v>
      </c>
      <c r="C389" s="652">
        <v>1499634.28</v>
      </c>
      <c r="D389" s="650">
        <v>1500000</v>
      </c>
      <c r="E389" s="650">
        <v>128979.82</v>
      </c>
      <c r="F389" s="649">
        <v>0</v>
      </c>
      <c r="G389" s="649">
        <v>365.72</v>
      </c>
      <c r="H389" s="649">
        <v>0</v>
      </c>
      <c r="I389" s="649" t="s">
        <v>1625</v>
      </c>
      <c r="J389" s="649"/>
      <c r="K389" s="649"/>
      <c r="L389" s="651" t="s">
        <v>2140</v>
      </c>
      <c r="M389" s="651"/>
      <c r="N389" s="651"/>
      <c r="O389" s="651" t="s">
        <v>2180</v>
      </c>
      <c r="P389" s="651" t="s">
        <v>103</v>
      </c>
      <c r="Q389" s="651" t="s">
        <v>104</v>
      </c>
      <c r="R389" s="651" t="s">
        <v>1074</v>
      </c>
      <c r="S389" s="651" t="s">
        <v>105</v>
      </c>
    </row>
    <row r="390" spans="1:19">
      <c r="A390" s="649" t="s">
        <v>1956</v>
      </c>
      <c r="B390" s="649" t="s">
        <v>2167</v>
      </c>
      <c r="C390" s="652">
        <v>227917.51</v>
      </c>
      <c r="D390" s="650">
        <v>228000</v>
      </c>
      <c r="E390" s="650">
        <v>32332.84</v>
      </c>
      <c r="F390" s="649">
        <v>0</v>
      </c>
      <c r="G390" s="649">
        <v>82.49</v>
      </c>
      <c r="H390" s="649">
        <v>0</v>
      </c>
      <c r="I390" s="649" t="s">
        <v>1625</v>
      </c>
      <c r="J390" s="649"/>
      <c r="K390" s="649"/>
      <c r="L390" s="651" t="s">
        <v>2140</v>
      </c>
      <c r="M390" s="651"/>
      <c r="N390" s="651"/>
      <c r="O390" s="651" t="s">
        <v>2180</v>
      </c>
      <c r="P390" s="651" t="s">
        <v>107</v>
      </c>
      <c r="Q390" s="651" t="s">
        <v>1074</v>
      </c>
      <c r="R390" s="651" t="s">
        <v>108</v>
      </c>
      <c r="S390" s="651"/>
    </row>
    <row r="391" spans="1:19">
      <c r="A391" s="649" t="s">
        <v>1957</v>
      </c>
      <c r="B391" s="649" t="s">
        <v>2167</v>
      </c>
      <c r="C391" s="652">
        <v>116460.75</v>
      </c>
      <c r="D391" s="650">
        <v>126162</v>
      </c>
      <c r="E391" s="650">
        <v>11235.21</v>
      </c>
      <c r="F391" s="649">
        <v>0</v>
      </c>
      <c r="G391" s="649">
        <v>9701.25</v>
      </c>
      <c r="H391" s="649">
        <v>8</v>
      </c>
      <c r="I391" s="649" t="s">
        <v>1625</v>
      </c>
      <c r="J391" s="649"/>
      <c r="K391" s="649"/>
      <c r="L391" s="651" t="s">
        <v>2140</v>
      </c>
      <c r="M391" s="651"/>
      <c r="N391" s="651"/>
      <c r="O391" s="651" t="s">
        <v>2180</v>
      </c>
      <c r="P391" s="651" t="s">
        <v>77</v>
      </c>
      <c r="Q391" s="651" t="s">
        <v>110</v>
      </c>
      <c r="R391" s="651" t="s">
        <v>1074</v>
      </c>
      <c r="S391" s="651" t="s">
        <v>111</v>
      </c>
    </row>
    <row r="392" spans="1:19">
      <c r="A392" s="649" t="s">
        <v>1958</v>
      </c>
      <c r="B392" s="649" t="s">
        <v>2167</v>
      </c>
      <c r="C392" s="652">
        <v>0</v>
      </c>
      <c r="D392" s="650">
        <v>0</v>
      </c>
      <c r="E392" s="650">
        <v>0</v>
      </c>
      <c r="F392" s="649">
        <v>0</v>
      </c>
      <c r="G392" s="649">
        <v>0</v>
      </c>
      <c r="H392" s="649">
        <v>0</v>
      </c>
      <c r="I392" s="649" t="s">
        <v>1625</v>
      </c>
      <c r="J392" s="649"/>
      <c r="K392" s="649"/>
      <c r="L392" s="651" t="s">
        <v>2140</v>
      </c>
      <c r="M392" s="651"/>
      <c r="N392" s="651"/>
      <c r="O392" s="651" t="s">
        <v>2180</v>
      </c>
      <c r="P392" s="651" t="s">
        <v>1959</v>
      </c>
      <c r="Q392" s="651" t="s">
        <v>805</v>
      </c>
      <c r="R392" s="651"/>
      <c r="S392" s="651"/>
    </row>
    <row r="393" spans="1:19">
      <c r="A393" s="649" t="s">
        <v>1960</v>
      </c>
      <c r="B393" s="649" t="s">
        <v>2167</v>
      </c>
      <c r="C393" s="652">
        <v>0</v>
      </c>
      <c r="D393" s="650">
        <v>0</v>
      </c>
      <c r="E393" s="650">
        <v>0</v>
      </c>
      <c r="F393" s="649">
        <v>0</v>
      </c>
      <c r="G393" s="649">
        <v>0</v>
      </c>
      <c r="H393" s="649">
        <v>0</v>
      </c>
      <c r="I393" s="649" t="s">
        <v>1625</v>
      </c>
      <c r="J393" s="649"/>
      <c r="K393" s="649"/>
      <c r="L393" s="651" t="s">
        <v>2140</v>
      </c>
      <c r="M393" s="651"/>
      <c r="N393" s="651"/>
      <c r="O393" s="651" t="s">
        <v>2180</v>
      </c>
      <c r="P393" s="651" t="s">
        <v>713</v>
      </c>
      <c r="Q393" s="651" t="s">
        <v>3445</v>
      </c>
      <c r="R393" s="651" t="s">
        <v>1074</v>
      </c>
      <c r="S393" s="651"/>
    </row>
    <row r="394" spans="1:19">
      <c r="A394" s="649" t="s">
        <v>1961</v>
      </c>
      <c r="B394" s="649" t="s">
        <v>2167</v>
      </c>
      <c r="C394" s="652">
        <v>0</v>
      </c>
      <c r="D394" s="650">
        <v>0</v>
      </c>
      <c r="E394" s="650">
        <v>0</v>
      </c>
      <c r="F394" s="649">
        <v>0</v>
      </c>
      <c r="G394" s="649">
        <v>0</v>
      </c>
      <c r="H394" s="649">
        <v>0</v>
      </c>
      <c r="I394" s="649" t="s">
        <v>1625</v>
      </c>
      <c r="J394" s="649"/>
      <c r="K394" s="649"/>
      <c r="L394" s="651" t="s">
        <v>2140</v>
      </c>
      <c r="M394" s="651"/>
      <c r="N394" s="651"/>
      <c r="O394" s="651" t="s">
        <v>2180</v>
      </c>
      <c r="P394" s="651" t="s">
        <v>915</v>
      </c>
      <c r="Q394" s="651" t="s">
        <v>114</v>
      </c>
      <c r="R394" s="651" t="s">
        <v>1074</v>
      </c>
      <c r="S394" s="651" t="s">
        <v>115</v>
      </c>
    </row>
    <row r="395" spans="1:19">
      <c r="A395" s="649" t="s">
        <v>1962</v>
      </c>
      <c r="B395" s="649" t="s">
        <v>2167</v>
      </c>
      <c r="C395" s="652">
        <v>0</v>
      </c>
      <c r="D395" s="650">
        <v>0</v>
      </c>
      <c r="E395" s="650">
        <v>0</v>
      </c>
      <c r="F395" s="649">
        <v>0</v>
      </c>
      <c r="G395" s="649">
        <v>0</v>
      </c>
      <c r="H395" s="649">
        <v>0</v>
      </c>
      <c r="I395" s="649" t="s">
        <v>1625</v>
      </c>
      <c r="J395" s="649"/>
      <c r="K395" s="649"/>
      <c r="L395" s="651" t="s">
        <v>2140</v>
      </c>
      <c r="M395" s="651"/>
      <c r="N395" s="651"/>
      <c r="O395" s="651" t="s">
        <v>1770</v>
      </c>
      <c r="P395" s="651" t="s">
        <v>1101</v>
      </c>
      <c r="Q395" s="651" t="s">
        <v>805</v>
      </c>
      <c r="R395" s="651"/>
      <c r="S395" s="651"/>
    </row>
    <row r="396" spans="1:19">
      <c r="A396" s="649" t="s">
        <v>1963</v>
      </c>
      <c r="B396" s="649" t="s">
        <v>2167</v>
      </c>
      <c r="C396" s="652">
        <v>0</v>
      </c>
      <c r="D396" s="650">
        <v>0</v>
      </c>
      <c r="E396" s="650">
        <v>0</v>
      </c>
      <c r="F396" s="649">
        <v>0</v>
      </c>
      <c r="G396" s="649">
        <v>0</v>
      </c>
      <c r="H396" s="649">
        <v>0</v>
      </c>
      <c r="I396" s="649" t="s">
        <v>1625</v>
      </c>
      <c r="J396" s="649"/>
      <c r="K396" s="649"/>
      <c r="L396" s="651" t="s">
        <v>2140</v>
      </c>
      <c r="M396" s="651"/>
      <c r="N396" s="651"/>
      <c r="O396" s="651" t="s">
        <v>2178</v>
      </c>
      <c r="P396" s="651" t="s">
        <v>816</v>
      </c>
      <c r="Q396" s="651" t="s">
        <v>1074</v>
      </c>
      <c r="R396" s="651" t="s">
        <v>796</v>
      </c>
      <c r="S396" s="651" t="s">
        <v>797</v>
      </c>
    </row>
    <row r="397" spans="1:19">
      <c r="A397" s="649" t="s">
        <v>1964</v>
      </c>
      <c r="B397" s="649" t="s">
        <v>2167</v>
      </c>
      <c r="C397" s="652">
        <v>319519.44</v>
      </c>
      <c r="D397" s="650">
        <v>319600</v>
      </c>
      <c r="E397" s="650">
        <v>28876.04</v>
      </c>
      <c r="F397" s="649">
        <v>0</v>
      </c>
      <c r="G397" s="649">
        <v>80.56</v>
      </c>
      <c r="H397" s="649">
        <v>0</v>
      </c>
      <c r="I397" s="649" t="s">
        <v>1625</v>
      </c>
      <c r="J397" s="649"/>
      <c r="K397" s="649"/>
      <c r="L397" s="651" t="s">
        <v>2140</v>
      </c>
      <c r="M397" s="651"/>
      <c r="N397" s="651"/>
      <c r="O397" s="651" t="s">
        <v>2181</v>
      </c>
      <c r="P397" s="651" t="s">
        <v>816</v>
      </c>
      <c r="Q397" s="651" t="s">
        <v>1074</v>
      </c>
      <c r="R397" s="651" t="s">
        <v>124</v>
      </c>
      <c r="S397" s="651" t="s">
        <v>125</v>
      </c>
    </row>
    <row r="398" spans="1:19">
      <c r="A398" s="649" t="s">
        <v>1965</v>
      </c>
      <c r="B398" s="649" t="s">
        <v>2167</v>
      </c>
      <c r="C398" s="652">
        <v>18689.27</v>
      </c>
      <c r="D398" s="650">
        <v>18700</v>
      </c>
      <c r="E398" s="650">
        <v>1826.29</v>
      </c>
      <c r="F398" s="649">
        <v>0</v>
      </c>
      <c r="G398" s="649">
        <v>10.73</v>
      </c>
      <c r="H398" s="649">
        <v>0</v>
      </c>
      <c r="I398" s="649" t="s">
        <v>1625</v>
      </c>
      <c r="J398" s="649"/>
      <c r="K398" s="649"/>
      <c r="L398" s="651" t="s">
        <v>2140</v>
      </c>
      <c r="M398" s="651"/>
      <c r="N398" s="651"/>
      <c r="O398" s="651" t="s">
        <v>1827</v>
      </c>
      <c r="P398" s="651" t="s">
        <v>816</v>
      </c>
      <c r="Q398" s="651" t="s">
        <v>1074</v>
      </c>
      <c r="R398" s="651" t="s">
        <v>793</v>
      </c>
      <c r="S398" s="651"/>
    </row>
    <row r="399" spans="1:19">
      <c r="A399" s="649" t="s">
        <v>1966</v>
      </c>
      <c r="B399" s="649" t="s">
        <v>2167</v>
      </c>
      <c r="C399" s="652">
        <v>4391.1000000000004</v>
      </c>
      <c r="D399" s="650">
        <v>4400</v>
      </c>
      <c r="E399" s="650">
        <v>536.69000000000005</v>
      </c>
      <c r="F399" s="649">
        <v>0</v>
      </c>
      <c r="G399" s="649">
        <v>8.9</v>
      </c>
      <c r="H399" s="649">
        <v>0</v>
      </c>
      <c r="I399" s="649" t="s">
        <v>1625</v>
      </c>
      <c r="J399" s="649"/>
      <c r="K399" s="649"/>
      <c r="L399" s="651" t="s">
        <v>2140</v>
      </c>
      <c r="M399" s="651"/>
      <c r="N399" s="651"/>
      <c r="O399" s="651" t="s">
        <v>2182</v>
      </c>
      <c r="P399" s="651" t="s">
        <v>816</v>
      </c>
      <c r="Q399" s="651" t="s">
        <v>1074</v>
      </c>
      <c r="R399" s="651" t="s">
        <v>128</v>
      </c>
      <c r="S399" s="651" t="s">
        <v>129</v>
      </c>
    </row>
    <row r="400" spans="1:19">
      <c r="A400" s="649" t="s">
        <v>1967</v>
      </c>
      <c r="B400" s="649" t="s">
        <v>2167</v>
      </c>
      <c r="C400" s="652">
        <v>1417.6</v>
      </c>
      <c r="D400" s="650">
        <v>1420</v>
      </c>
      <c r="E400" s="650">
        <v>128</v>
      </c>
      <c r="F400" s="649">
        <v>0</v>
      </c>
      <c r="G400" s="649">
        <v>2.4</v>
      </c>
      <c r="H400" s="649">
        <v>0</v>
      </c>
      <c r="I400" s="649" t="s">
        <v>1625</v>
      </c>
      <c r="J400" s="649"/>
      <c r="K400" s="649"/>
      <c r="L400" s="651" t="s">
        <v>2140</v>
      </c>
      <c r="M400" s="651"/>
      <c r="N400" s="651"/>
      <c r="O400" s="651" t="s">
        <v>2180</v>
      </c>
      <c r="P400" s="651" t="s">
        <v>2486</v>
      </c>
      <c r="Q400" s="651" t="s">
        <v>1074</v>
      </c>
      <c r="R400" s="651" t="s">
        <v>802</v>
      </c>
      <c r="S400" s="651"/>
    </row>
    <row r="401" spans="1:19">
      <c r="A401" s="649" t="s">
        <v>1968</v>
      </c>
      <c r="B401" s="649" t="s">
        <v>2167</v>
      </c>
      <c r="C401" s="652">
        <v>0</v>
      </c>
      <c r="D401" s="650">
        <v>4072</v>
      </c>
      <c r="E401" s="650">
        <v>0</v>
      </c>
      <c r="F401" s="649">
        <v>0</v>
      </c>
      <c r="G401" s="649">
        <v>4072</v>
      </c>
      <c r="H401" s="649">
        <v>100</v>
      </c>
      <c r="I401" s="649" t="s">
        <v>1625</v>
      </c>
      <c r="J401" s="649"/>
      <c r="K401" s="649"/>
      <c r="L401" s="651" t="s">
        <v>2142</v>
      </c>
      <c r="M401" s="651"/>
      <c r="N401" s="651"/>
      <c r="O401" s="651"/>
      <c r="P401" s="651" t="s">
        <v>819</v>
      </c>
      <c r="Q401" s="651" t="s">
        <v>132</v>
      </c>
      <c r="R401" s="651" t="s">
        <v>133</v>
      </c>
      <c r="S401" s="651"/>
    </row>
    <row r="402" spans="1:19">
      <c r="A402" s="649" t="s">
        <v>2826</v>
      </c>
      <c r="B402" s="649" t="s">
        <v>2167</v>
      </c>
      <c r="C402" s="652">
        <v>5419.69</v>
      </c>
      <c r="D402" s="650">
        <v>5450</v>
      </c>
      <c r="E402" s="650">
        <v>0</v>
      </c>
      <c r="F402" s="649">
        <v>0</v>
      </c>
      <c r="G402" s="649">
        <v>30.31</v>
      </c>
      <c r="H402" s="649">
        <v>1</v>
      </c>
      <c r="I402" s="649" t="s">
        <v>1625</v>
      </c>
      <c r="J402" s="649"/>
      <c r="K402" s="649"/>
      <c r="L402" s="651" t="s">
        <v>2143</v>
      </c>
      <c r="M402" s="651"/>
      <c r="N402" s="651"/>
      <c r="O402" s="651"/>
      <c r="P402" s="651" t="s">
        <v>825</v>
      </c>
      <c r="Q402" s="651" t="s">
        <v>780</v>
      </c>
      <c r="R402" s="651" t="s">
        <v>826</v>
      </c>
      <c r="S402" s="651"/>
    </row>
    <row r="403" spans="1:19">
      <c r="A403" s="649" t="s">
        <v>1663</v>
      </c>
      <c r="B403" s="649" t="s">
        <v>2167</v>
      </c>
      <c r="C403" s="652">
        <v>2935.88</v>
      </c>
      <c r="D403" s="650">
        <v>2950</v>
      </c>
      <c r="E403" s="650">
        <v>0</v>
      </c>
      <c r="F403" s="649">
        <v>0</v>
      </c>
      <c r="G403" s="649">
        <v>14.12</v>
      </c>
      <c r="H403" s="649">
        <v>0</v>
      </c>
      <c r="I403" s="649" t="s">
        <v>1625</v>
      </c>
      <c r="J403" s="649"/>
      <c r="K403" s="649"/>
      <c r="L403" s="651" t="s">
        <v>2143</v>
      </c>
      <c r="M403" s="651"/>
      <c r="N403" s="651"/>
      <c r="O403" s="651"/>
      <c r="P403" s="651" t="s">
        <v>1664</v>
      </c>
      <c r="Q403" s="651" t="s">
        <v>137</v>
      </c>
      <c r="R403" s="651" t="s">
        <v>1074</v>
      </c>
      <c r="S403" s="651" t="s">
        <v>1665</v>
      </c>
    </row>
    <row r="404" spans="1:19">
      <c r="A404" s="649" t="s">
        <v>1666</v>
      </c>
      <c r="B404" s="649" t="s">
        <v>2167</v>
      </c>
      <c r="C404" s="652">
        <v>55213.84</v>
      </c>
      <c r="D404" s="650">
        <v>58000</v>
      </c>
      <c r="E404" s="650">
        <v>6578.48</v>
      </c>
      <c r="F404" s="649">
        <v>0</v>
      </c>
      <c r="G404" s="649">
        <v>2786.16</v>
      </c>
      <c r="H404" s="649">
        <v>5</v>
      </c>
      <c r="I404" s="649" t="s">
        <v>1625</v>
      </c>
      <c r="J404" s="649"/>
      <c r="K404" s="649"/>
      <c r="L404" s="651" t="s">
        <v>2143</v>
      </c>
      <c r="M404" s="651"/>
      <c r="N404" s="651"/>
      <c r="O404" s="651"/>
      <c r="P404" s="651" t="s">
        <v>1664</v>
      </c>
      <c r="Q404" s="651" t="s">
        <v>137</v>
      </c>
      <c r="R404" s="651" t="s">
        <v>1074</v>
      </c>
      <c r="S404" s="651" t="s">
        <v>1667</v>
      </c>
    </row>
    <row r="405" spans="1:19">
      <c r="A405" s="649" t="s">
        <v>1668</v>
      </c>
      <c r="B405" s="649" t="s">
        <v>2167</v>
      </c>
      <c r="C405" s="652">
        <v>1659287.46</v>
      </c>
      <c r="D405" s="650">
        <v>1672426</v>
      </c>
      <c r="E405" s="650">
        <v>386479.65</v>
      </c>
      <c r="F405" s="649">
        <v>0</v>
      </c>
      <c r="G405" s="649">
        <v>13138.54</v>
      </c>
      <c r="H405" s="649">
        <v>1</v>
      </c>
      <c r="I405" s="649" t="s">
        <v>1625</v>
      </c>
      <c r="J405" s="649"/>
      <c r="K405" s="649"/>
      <c r="L405" s="651" t="s">
        <v>2143</v>
      </c>
      <c r="M405" s="651"/>
      <c r="N405" s="651"/>
      <c r="O405" s="651"/>
      <c r="P405" s="651" t="s">
        <v>141</v>
      </c>
      <c r="Q405" s="651" t="s">
        <v>780</v>
      </c>
      <c r="R405" s="651" t="s">
        <v>142</v>
      </c>
      <c r="S405" s="651"/>
    </row>
    <row r="406" spans="1:19">
      <c r="A406" s="649" t="s">
        <v>1669</v>
      </c>
      <c r="B406" s="649" t="s">
        <v>2167</v>
      </c>
      <c r="C406" s="652">
        <v>57930.75</v>
      </c>
      <c r="D406" s="650">
        <v>161309</v>
      </c>
      <c r="E406" s="650">
        <v>57930.75</v>
      </c>
      <c r="F406" s="649">
        <v>0</v>
      </c>
      <c r="G406" s="649">
        <v>103378.25</v>
      </c>
      <c r="H406" s="649">
        <v>64</v>
      </c>
      <c r="I406" s="649" t="s">
        <v>1625</v>
      </c>
      <c r="J406" s="649"/>
      <c r="K406" s="649"/>
      <c r="L406" s="651" t="s">
        <v>3447</v>
      </c>
      <c r="M406" s="651"/>
      <c r="N406" s="651"/>
      <c r="O406" s="651" t="s">
        <v>2144</v>
      </c>
      <c r="P406" s="651" t="s">
        <v>3241</v>
      </c>
      <c r="Q406" s="651" t="s">
        <v>828</v>
      </c>
      <c r="R406" s="651"/>
      <c r="S406" s="651"/>
    </row>
    <row r="407" spans="1:19" s="327" customFormat="1">
      <c r="A407" s="654" t="s">
        <v>1670</v>
      </c>
      <c r="B407" s="654" t="s">
        <v>2167</v>
      </c>
      <c r="C407" s="655">
        <v>0</v>
      </c>
      <c r="D407" s="656">
        <v>229761</v>
      </c>
      <c r="E407" s="656">
        <v>76389.490000000005</v>
      </c>
      <c r="F407" s="654">
        <v>0</v>
      </c>
      <c r="G407" s="654">
        <v>153371.51</v>
      </c>
      <c r="H407" s="654">
        <v>67</v>
      </c>
      <c r="I407" s="654" t="s">
        <v>1625</v>
      </c>
      <c r="J407" s="654"/>
      <c r="K407" s="654"/>
      <c r="L407" s="653" t="s">
        <v>3447</v>
      </c>
      <c r="M407" s="653"/>
      <c r="N407" s="653"/>
      <c r="O407" s="653" t="s">
        <v>2145</v>
      </c>
      <c r="P407" s="653" t="s">
        <v>3259</v>
      </c>
      <c r="Q407" s="653" t="s">
        <v>830</v>
      </c>
      <c r="R407" s="653"/>
      <c r="S407" s="653"/>
    </row>
    <row r="408" spans="1:19">
      <c r="A408" s="649" t="s">
        <v>1671</v>
      </c>
      <c r="B408" s="649" t="s">
        <v>2167</v>
      </c>
      <c r="C408" s="652">
        <v>0</v>
      </c>
      <c r="D408" s="650">
        <v>0</v>
      </c>
      <c r="E408" s="650">
        <v>0</v>
      </c>
      <c r="F408" s="649">
        <v>0</v>
      </c>
      <c r="G408" s="649">
        <v>0</v>
      </c>
      <c r="H408" s="649">
        <v>0</v>
      </c>
      <c r="I408" s="649" t="s">
        <v>1625</v>
      </c>
      <c r="J408" s="649"/>
      <c r="K408" s="649"/>
      <c r="L408" s="651" t="s">
        <v>2146</v>
      </c>
      <c r="M408" s="651"/>
      <c r="N408" s="651"/>
      <c r="O408" s="651"/>
      <c r="P408" s="651" t="s">
        <v>141</v>
      </c>
      <c r="Q408" s="651" t="s">
        <v>780</v>
      </c>
      <c r="R408" s="651" t="s">
        <v>142</v>
      </c>
      <c r="S408" s="651"/>
    </row>
    <row r="409" spans="1:19">
      <c r="A409" s="649" t="s">
        <v>1672</v>
      </c>
      <c r="B409" s="649" t="s">
        <v>2167</v>
      </c>
      <c r="C409" s="652">
        <v>35693.089999999997</v>
      </c>
      <c r="D409" s="650">
        <v>35904</v>
      </c>
      <c r="E409" s="650">
        <v>7731.4</v>
      </c>
      <c r="F409" s="649">
        <v>0</v>
      </c>
      <c r="G409" s="649">
        <v>210.91</v>
      </c>
      <c r="H409" s="649">
        <v>1</v>
      </c>
      <c r="I409" s="649" t="s">
        <v>1625</v>
      </c>
      <c r="J409" s="649"/>
      <c r="K409" s="649"/>
      <c r="L409" s="651" t="s">
        <v>2146</v>
      </c>
      <c r="M409" s="651"/>
      <c r="N409" s="651"/>
      <c r="O409" s="651"/>
      <c r="P409" s="651" t="s">
        <v>856</v>
      </c>
      <c r="Q409" s="651" t="s">
        <v>857</v>
      </c>
      <c r="R409" s="651"/>
      <c r="S409" s="651"/>
    </row>
    <row r="410" spans="1:19">
      <c r="A410" s="649" t="s">
        <v>1673</v>
      </c>
      <c r="B410" s="649" t="s">
        <v>2167</v>
      </c>
      <c r="C410" s="652">
        <v>81634.75</v>
      </c>
      <c r="D410" s="650">
        <v>82000</v>
      </c>
      <c r="E410" s="650">
        <v>49305.03</v>
      </c>
      <c r="F410" s="649">
        <v>0</v>
      </c>
      <c r="G410" s="649">
        <v>365.25</v>
      </c>
      <c r="H410" s="649">
        <v>0</v>
      </c>
      <c r="I410" s="649" t="s">
        <v>1625</v>
      </c>
      <c r="J410" s="649"/>
      <c r="K410" s="649"/>
      <c r="L410" s="651" t="s">
        <v>2146</v>
      </c>
      <c r="M410" s="651"/>
      <c r="N410" s="651"/>
      <c r="O410" s="651"/>
      <c r="P410" s="651" t="s">
        <v>865</v>
      </c>
      <c r="Q410" s="651" t="s">
        <v>1074</v>
      </c>
      <c r="R410" s="651" t="s">
        <v>3368</v>
      </c>
      <c r="S410" s="651"/>
    </row>
    <row r="411" spans="1:19">
      <c r="A411" s="649" t="s">
        <v>1674</v>
      </c>
      <c r="B411" s="649" t="s">
        <v>2167</v>
      </c>
      <c r="C411" s="652">
        <v>8511.2800000000007</v>
      </c>
      <c r="D411" s="650">
        <v>8511</v>
      </c>
      <c r="E411" s="650">
        <v>0</v>
      </c>
      <c r="F411" s="649">
        <v>0</v>
      </c>
      <c r="G411" s="649">
        <v>-0.28000000000000003</v>
      </c>
      <c r="H411" s="649">
        <v>0</v>
      </c>
      <c r="I411" s="649" t="s">
        <v>1625</v>
      </c>
      <c r="J411" s="649"/>
      <c r="K411" s="649"/>
      <c r="L411" s="651" t="s">
        <v>2146</v>
      </c>
      <c r="M411" s="651"/>
      <c r="N411" s="651"/>
      <c r="O411" s="651"/>
      <c r="P411" s="651" t="s">
        <v>3248</v>
      </c>
      <c r="Q411" s="651"/>
      <c r="R411" s="651"/>
      <c r="S411" s="651"/>
    </row>
    <row r="412" spans="1:19">
      <c r="A412" s="649" t="s">
        <v>1675</v>
      </c>
      <c r="B412" s="649" t="s">
        <v>2167</v>
      </c>
      <c r="C412" s="652">
        <v>3763</v>
      </c>
      <c r="D412" s="650">
        <v>4326</v>
      </c>
      <c r="E412" s="650">
        <v>0</v>
      </c>
      <c r="F412" s="649">
        <v>0</v>
      </c>
      <c r="G412" s="649">
        <v>563</v>
      </c>
      <c r="H412" s="649">
        <v>13</v>
      </c>
      <c r="I412" s="649" t="s">
        <v>1625</v>
      </c>
      <c r="J412" s="649"/>
      <c r="K412" s="649"/>
      <c r="L412" s="651" t="s">
        <v>2146</v>
      </c>
      <c r="M412" s="651"/>
      <c r="N412" s="651"/>
      <c r="O412" s="651"/>
      <c r="P412" s="651" t="s">
        <v>867</v>
      </c>
      <c r="Q412" s="651" t="s">
        <v>780</v>
      </c>
      <c r="R412" s="651" t="s">
        <v>868</v>
      </c>
      <c r="S412" s="651"/>
    </row>
    <row r="413" spans="1:19">
      <c r="A413" s="649" t="s">
        <v>1676</v>
      </c>
      <c r="B413" s="649" t="s">
        <v>2167</v>
      </c>
      <c r="C413" s="652">
        <v>0</v>
      </c>
      <c r="D413" s="650">
        <v>0</v>
      </c>
      <c r="E413" s="650">
        <v>0</v>
      </c>
      <c r="F413" s="649">
        <v>0</v>
      </c>
      <c r="G413" s="649">
        <v>0</v>
      </c>
      <c r="H413" s="649">
        <v>0</v>
      </c>
      <c r="I413" s="649" t="s">
        <v>1625</v>
      </c>
      <c r="J413" s="649"/>
      <c r="K413" s="649"/>
      <c r="L413" s="651" t="s">
        <v>2146</v>
      </c>
      <c r="M413" s="651"/>
      <c r="N413" s="651"/>
      <c r="O413" s="651"/>
      <c r="P413" s="651" t="s">
        <v>881</v>
      </c>
      <c r="Q413" s="651" t="s">
        <v>780</v>
      </c>
      <c r="R413" s="651" t="s">
        <v>882</v>
      </c>
      <c r="S413" s="651"/>
    </row>
    <row r="414" spans="1:19">
      <c r="A414" s="649" t="s">
        <v>1677</v>
      </c>
      <c r="B414" s="649" t="s">
        <v>2167</v>
      </c>
      <c r="C414" s="652">
        <v>63885.599999999999</v>
      </c>
      <c r="D414" s="650">
        <v>85000</v>
      </c>
      <c r="E414" s="650">
        <v>781.08</v>
      </c>
      <c r="F414" s="649">
        <v>0</v>
      </c>
      <c r="G414" s="649">
        <v>21114.400000000001</v>
      </c>
      <c r="H414" s="649">
        <v>25</v>
      </c>
      <c r="I414" s="649" t="s">
        <v>1625</v>
      </c>
      <c r="J414" s="649"/>
      <c r="K414" s="649"/>
      <c r="L414" s="651" t="s">
        <v>2146</v>
      </c>
      <c r="M414" s="651"/>
      <c r="N414" s="651"/>
      <c r="O414" s="651"/>
      <c r="P414" s="651" t="s">
        <v>333</v>
      </c>
      <c r="Q414" s="651" t="s">
        <v>334</v>
      </c>
      <c r="R414" s="651"/>
      <c r="S414" s="651"/>
    </row>
    <row r="415" spans="1:19">
      <c r="A415" s="649" t="s">
        <v>1678</v>
      </c>
      <c r="B415" s="649" t="s">
        <v>2167</v>
      </c>
      <c r="C415" s="652">
        <v>0</v>
      </c>
      <c r="D415" s="650">
        <v>0</v>
      </c>
      <c r="E415" s="650">
        <v>0</v>
      </c>
      <c r="F415" s="649">
        <v>0</v>
      </c>
      <c r="G415" s="649">
        <v>0</v>
      </c>
      <c r="H415" s="649">
        <v>0</v>
      </c>
      <c r="I415" s="649" t="s">
        <v>1625</v>
      </c>
      <c r="J415" s="649"/>
      <c r="K415" s="649"/>
      <c r="L415" s="651" t="s">
        <v>2146</v>
      </c>
      <c r="M415" s="651"/>
      <c r="N415" s="651"/>
      <c r="O415" s="651"/>
      <c r="P415" s="651" t="s">
        <v>66</v>
      </c>
      <c r="Q415" s="651" t="s">
        <v>1074</v>
      </c>
      <c r="R415" s="651" t="s">
        <v>67</v>
      </c>
      <c r="S415" s="651"/>
    </row>
    <row r="416" spans="1:19">
      <c r="A416" s="649" t="s">
        <v>1679</v>
      </c>
      <c r="B416" s="649" t="s">
        <v>2167</v>
      </c>
      <c r="C416" s="652">
        <v>6511.03</v>
      </c>
      <c r="D416" s="650">
        <v>6600</v>
      </c>
      <c r="E416" s="650">
        <v>1960.88</v>
      </c>
      <c r="F416" s="649">
        <v>0</v>
      </c>
      <c r="G416" s="649">
        <v>88.97</v>
      </c>
      <c r="H416" s="649">
        <v>1</v>
      </c>
      <c r="I416" s="649" t="s">
        <v>1625</v>
      </c>
      <c r="J416" s="649"/>
      <c r="K416" s="649"/>
      <c r="L416" s="651" t="s">
        <v>2146</v>
      </c>
      <c r="M416" s="651"/>
      <c r="N416" s="651"/>
      <c r="O416" s="651"/>
      <c r="P416" s="651" t="s">
        <v>66</v>
      </c>
      <c r="Q416" s="651" t="s">
        <v>1074</v>
      </c>
      <c r="R416" s="651" t="s">
        <v>69</v>
      </c>
      <c r="S416" s="651"/>
    </row>
    <row r="417" spans="1:19">
      <c r="A417" s="649" t="s">
        <v>1680</v>
      </c>
      <c r="B417" s="649" t="s">
        <v>2167</v>
      </c>
      <c r="C417" s="652">
        <v>0</v>
      </c>
      <c r="D417" s="650">
        <v>0</v>
      </c>
      <c r="E417" s="650">
        <v>0</v>
      </c>
      <c r="F417" s="649">
        <v>0</v>
      </c>
      <c r="G417" s="649">
        <v>0</v>
      </c>
      <c r="H417" s="649">
        <v>0</v>
      </c>
      <c r="I417" s="649" t="s">
        <v>1625</v>
      </c>
      <c r="J417" s="649"/>
      <c r="K417" s="649"/>
      <c r="L417" s="651" t="s">
        <v>2146</v>
      </c>
      <c r="M417" s="651"/>
      <c r="N417" s="651"/>
      <c r="O417" s="651"/>
      <c r="P417" s="651" t="s">
        <v>1681</v>
      </c>
      <c r="Q417" s="651" t="s">
        <v>1682</v>
      </c>
      <c r="R417" s="651" t="s">
        <v>1683</v>
      </c>
      <c r="S417" s="651"/>
    </row>
    <row r="418" spans="1:19">
      <c r="A418" s="649" t="s">
        <v>1684</v>
      </c>
      <c r="B418" s="649" t="s">
        <v>2167</v>
      </c>
      <c r="C418" s="652">
        <v>0</v>
      </c>
      <c r="D418" s="650">
        <v>0</v>
      </c>
      <c r="E418" s="650">
        <v>0</v>
      </c>
      <c r="F418" s="649">
        <v>0</v>
      </c>
      <c r="G418" s="649">
        <v>0</v>
      </c>
      <c r="H418" s="649">
        <v>0</v>
      </c>
      <c r="I418" s="649" t="s">
        <v>1625</v>
      </c>
      <c r="J418" s="649"/>
      <c r="K418" s="649"/>
      <c r="L418" s="651" t="s">
        <v>2146</v>
      </c>
      <c r="M418" s="651"/>
      <c r="N418" s="651"/>
      <c r="O418" s="651" t="s">
        <v>2147</v>
      </c>
      <c r="P418" s="651" t="s">
        <v>621</v>
      </c>
      <c r="Q418" s="651" t="s">
        <v>1074</v>
      </c>
      <c r="R418" s="651" t="s">
        <v>3524</v>
      </c>
      <c r="S418" s="651" t="s">
        <v>1685</v>
      </c>
    </row>
    <row r="419" spans="1:19">
      <c r="A419" s="649" t="s">
        <v>1686</v>
      </c>
      <c r="B419" s="649" t="s">
        <v>2167</v>
      </c>
      <c r="C419" s="652">
        <v>0</v>
      </c>
      <c r="D419" s="650">
        <v>0</v>
      </c>
      <c r="E419" s="650">
        <v>0</v>
      </c>
      <c r="F419" s="649">
        <v>0</v>
      </c>
      <c r="G419" s="649">
        <v>0</v>
      </c>
      <c r="H419" s="649">
        <v>0</v>
      </c>
      <c r="I419" s="649" t="s">
        <v>1625</v>
      </c>
      <c r="J419" s="649">
        <f>SUM(C389:C419)</f>
        <v>4168816.3199999994</v>
      </c>
      <c r="K419" s="649"/>
      <c r="L419" s="651" t="s">
        <v>2146</v>
      </c>
      <c r="M419" s="651"/>
      <c r="N419" s="651"/>
      <c r="O419" s="651" t="s">
        <v>2147</v>
      </c>
      <c r="P419" s="651" t="s">
        <v>1950</v>
      </c>
      <c r="Q419" s="651" t="s">
        <v>3254</v>
      </c>
      <c r="R419" s="651" t="s">
        <v>1687</v>
      </c>
      <c r="S419" s="651"/>
    </row>
    <row r="420" spans="1:19">
      <c r="A420" s="649" t="s">
        <v>1688</v>
      </c>
      <c r="B420" s="649" t="s">
        <v>2168</v>
      </c>
      <c r="C420" s="652">
        <v>0</v>
      </c>
      <c r="D420" s="650">
        <v>0</v>
      </c>
      <c r="E420" s="650">
        <v>4813.08</v>
      </c>
      <c r="F420" s="649">
        <v>0</v>
      </c>
      <c r="G420" s="649">
        <v>0</v>
      </c>
      <c r="H420" s="649">
        <v>0</v>
      </c>
      <c r="I420" s="649" t="s">
        <v>773</v>
      </c>
      <c r="J420" s="649"/>
      <c r="K420" s="649"/>
      <c r="L420" s="651"/>
      <c r="M420" s="651"/>
      <c r="N420" s="651"/>
      <c r="O420" s="651"/>
      <c r="P420" s="651" t="s">
        <v>769</v>
      </c>
      <c r="Q420" s="651" t="s">
        <v>689</v>
      </c>
      <c r="R420" s="651"/>
      <c r="S420" s="651"/>
    </row>
    <row r="421" spans="1:19">
      <c r="A421" s="649" t="s">
        <v>1689</v>
      </c>
      <c r="B421" s="649" t="s">
        <v>2168</v>
      </c>
      <c r="C421" s="652">
        <v>305431.32</v>
      </c>
      <c r="D421" s="650">
        <v>643587</v>
      </c>
      <c r="E421" s="650">
        <v>-220701.66</v>
      </c>
      <c r="F421" s="649">
        <v>0</v>
      </c>
      <c r="G421" s="649">
        <v>338155.68</v>
      </c>
      <c r="H421" s="649">
        <v>53</v>
      </c>
      <c r="I421" s="649" t="s">
        <v>1625</v>
      </c>
      <c r="J421" s="649"/>
      <c r="K421" s="649"/>
      <c r="L421" s="651" t="s">
        <v>2140</v>
      </c>
      <c r="M421" s="651"/>
      <c r="N421" s="651"/>
      <c r="O421" s="651" t="s">
        <v>2180</v>
      </c>
      <c r="P421" s="651" t="s">
        <v>103</v>
      </c>
      <c r="Q421" s="651" t="s">
        <v>104</v>
      </c>
      <c r="R421" s="651" t="s">
        <v>1074</v>
      </c>
      <c r="S421" s="651" t="s">
        <v>105</v>
      </c>
    </row>
    <row r="422" spans="1:19">
      <c r="A422" s="649" t="s">
        <v>1690</v>
      </c>
      <c r="B422" s="649" t="s">
        <v>2168</v>
      </c>
      <c r="C422" s="652">
        <v>381.93</v>
      </c>
      <c r="D422" s="650">
        <v>400</v>
      </c>
      <c r="E422" s="650">
        <v>0</v>
      </c>
      <c r="F422" s="649">
        <v>0</v>
      </c>
      <c r="G422" s="649">
        <v>18.07</v>
      </c>
      <c r="H422" s="649">
        <v>5</v>
      </c>
      <c r="I422" s="649" t="s">
        <v>1625</v>
      </c>
      <c r="J422" s="649"/>
      <c r="K422" s="649"/>
      <c r="L422" s="651" t="s">
        <v>2140</v>
      </c>
      <c r="M422" s="651"/>
      <c r="N422" s="651"/>
      <c r="O422" s="651" t="s">
        <v>2180</v>
      </c>
      <c r="P422" s="651" t="s">
        <v>107</v>
      </c>
      <c r="Q422" s="651" t="s">
        <v>1074</v>
      </c>
      <c r="R422" s="651" t="s">
        <v>108</v>
      </c>
      <c r="S422" s="651"/>
    </row>
    <row r="423" spans="1:19">
      <c r="A423" s="649" t="s">
        <v>1691</v>
      </c>
      <c r="B423" s="649" t="s">
        <v>2168</v>
      </c>
      <c r="C423" s="652">
        <v>41614.32</v>
      </c>
      <c r="D423" s="650">
        <v>102891</v>
      </c>
      <c r="E423" s="650">
        <v>0</v>
      </c>
      <c r="F423" s="649">
        <v>0</v>
      </c>
      <c r="G423" s="649">
        <v>61276.68</v>
      </c>
      <c r="H423" s="649">
        <v>60</v>
      </c>
      <c r="I423" s="649" t="s">
        <v>1625</v>
      </c>
      <c r="J423" s="649"/>
      <c r="K423" s="649"/>
      <c r="L423" s="651" t="s">
        <v>2140</v>
      </c>
      <c r="M423" s="651"/>
      <c r="N423" s="651"/>
      <c r="O423" s="651" t="s">
        <v>2180</v>
      </c>
      <c r="P423" s="651" t="s">
        <v>77</v>
      </c>
      <c r="Q423" s="651" t="s">
        <v>110</v>
      </c>
      <c r="R423" s="651" t="s">
        <v>1074</v>
      </c>
      <c r="S423" s="651" t="s">
        <v>111</v>
      </c>
    </row>
    <row r="424" spans="1:19">
      <c r="A424" s="649" t="s">
        <v>1692</v>
      </c>
      <c r="B424" s="649" t="s">
        <v>2168</v>
      </c>
      <c r="C424" s="652">
        <v>40854.54</v>
      </c>
      <c r="D424" s="650">
        <v>40855</v>
      </c>
      <c r="E424" s="650">
        <v>0</v>
      </c>
      <c r="F424" s="649">
        <v>0</v>
      </c>
      <c r="G424" s="649">
        <v>0.46</v>
      </c>
      <c r="H424" s="649">
        <v>0</v>
      </c>
      <c r="I424" s="649" t="s">
        <v>1625</v>
      </c>
      <c r="J424" s="649"/>
      <c r="K424" s="649"/>
      <c r="L424" s="651" t="s">
        <v>2140</v>
      </c>
      <c r="M424" s="651"/>
      <c r="N424" s="651"/>
      <c r="O424" s="651" t="s">
        <v>2180</v>
      </c>
      <c r="P424" s="651" t="s">
        <v>713</v>
      </c>
      <c r="Q424" s="651" t="s">
        <v>3445</v>
      </c>
      <c r="R424" s="651" t="s">
        <v>1074</v>
      </c>
      <c r="S424" s="651"/>
    </row>
    <row r="425" spans="1:19">
      <c r="A425" s="649" t="s">
        <v>1693</v>
      </c>
      <c r="B425" s="649" t="s">
        <v>2168</v>
      </c>
      <c r="C425" s="652">
        <v>0</v>
      </c>
      <c r="D425" s="650">
        <v>0</v>
      </c>
      <c r="E425" s="650">
        <v>0</v>
      </c>
      <c r="F425" s="649">
        <v>0</v>
      </c>
      <c r="G425" s="649">
        <v>0</v>
      </c>
      <c r="H425" s="649">
        <v>0</v>
      </c>
      <c r="I425" s="649" t="s">
        <v>1625</v>
      </c>
      <c r="J425" s="649"/>
      <c r="K425" s="649"/>
      <c r="L425" s="651" t="s">
        <v>2140</v>
      </c>
      <c r="M425" s="651"/>
      <c r="N425" s="651"/>
      <c r="O425" s="651" t="s">
        <v>2180</v>
      </c>
      <c r="P425" s="651" t="s">
        <v>915</v>
      </c>
      <c r="Q425" s="651" t="s">
        <v>114</v>
      </c>
      <c r="R425" s="651" t="s">
        <v>1074</v>
      </c>
      <c r="S425" s="651" t="s">
        <v>115</v>
      </c>
    </row>
    <row r="426" spans="1:19">
      <c r="A426" s="649" t="s">
        <v>1694</v>
      </c>
      <c r="B426" s="649" t="s">
        <v>2168</v>
      </c>
      <c r="C426" s="652">
        <v>7068</v>
      </c>
      <c r="D426" s="650">
        <v>7100</v>
      </c>
      <c r="E426" s="650">
        <v>624</v>
      </c>
      <c r="F426" s="649">
        <v>0</v>
      </c>
      <c r="G426" s="649">
        <v>32</v>
      </c>
      <c r="H426" s="649">
        <v>0</v>
      </c>
      <c r="I426" s="649" t="s">
        <v>1625</v>
      </c>
      <c r="J426" s="649"/>
      <c r="K426" s="649"/>
      <c r="L426" s="651" t="s">
        <v>2140</v>
      </c>
      <c r="M426" s="651"/>
      <c r="N426" s="651"/>
      <c r="O426" s="651" t="s">
        <v>1770</v>
      </c>
      <c r="P426" s="651" t="s">
        <v>1101</v>
      </c>
      <c r="Q426" s="651" t="s">
        <v>805</v>
      </c>
      <c r="R426" s="651"/>
      <c r="S426" s="651"/>
    </row>
    <row r="427" spans="1:19">
      <c r="A427" s="649" t="s">
        <v>1695</v>
      </c>
      <c r="B427" s="649" t="s">
        <v>2168</v>
      </c>
      <c r="C427" s="652">
        <v>190579.08</v>
      </c>
      <c r="D427" s="650">
        <v>200000</v>
      </c>
      <c r="E427" s="650">
        <v>15881.59</v>
      </c>
      <c r="F427" s="649">
        <v>0</v>
      </c>
      <c r="G427" s="649">
        <v>9420.92</v>
      </c>
      <c r="H427" s="649">
        <v>5</v>
      </c>
      <c r="I427" s="649" t="s">
        <v>1625</v>
      </c>
      <c r="J427" s="649"/>
      <c r="K427" s="649"/>
      <c r="L427" s="651" t="s">
        <v>2140</v>
      </c>
      <c r="M427" s="651"/>
      <c r="N427" s="651"/>
      <c r="O427" s="651" t="s">
        <v>2180</v>
      </c>
      <c r="P427" s="651" t="s">
        <v>118</v>
      </c>
      <c r="Q427" s="651" t="s">
        <v>805</v>
      </c>
      <c r="R427" s="651"/>
      <c r="S427" s="651"/>
    </row>
    <row r="428" spans="1:19">
      <c r="A428" s="649" t="s">
        <v>3568</v>
      </c>
      <c r="B428" s="649" t="s">
        <v>2168</v>
      </c>
      <c r="C428" s="652">
        <v>26149.39</v>
      </c>
      <c r="D428" s="650">
        <v>26200</v>
      </c>
      <c r="E428" s="650">
        <v>2528.4</v>
      </c>
      <c r="F428" s="649">
        <v>0</v>
      </c>
      <c r="G428" s="649">
        <v>50.61</v>
      </c>
      <c r="H428" s="649">
        <v>0</v>
      </c>
      <c r="I428" s="649" t="s">
        <v>1625</v>
      </c>
      <c r="J428" s="649"/>
      <c r="K428" s="649"/>
      <c r="L428" s="651" t="s">
        <v>2140</v>
      </c>
      <c r="M428" s="651"/>
      <c r="N428" s="651"/>
      <c r="O428" s="651" t="s">
        <v>2178</v>
      </c>
      <c r="P428" s="651" t="s">
        <v>816</v>
      </c>
      <c r="Q428" s="651" t="s">
        <v>1074</v>
      </c>
      <c r="R428" s="651" t="s">
        <v>796</v>
      </c>
      <c r="S428" s="651" t="s">
        <v>797</v>
      </c>
    </row>
    <row r="429" spans="1:19">
      <c r="A429" s="649" t="s">
        <v>3569</v>
      </c>
      <c r="B429" s="649" t="s">
        <v>2168</v>
      </c>
      <c r="C429" s="652">
        <v>63148.2</v>
      </c>
      <c r="D429" s="650">
        <v>63200</v>
      </c>
      <c r="E429" s="650">
        <v>6489.34</v>
      </c>
      <c r="F429" s="649">
        <v>0</v>
      </c>
      <c r="G429" s="649">
        <v>51.8</v>
      </c>
      <c r="H429" s="649">
        <v>0</v>
      </c>
      <c r="I429" s="649" t="s">
        <v>1625</v>
      </c>
      <c r="J429" s="649"/>
      <c r="K429" s="649"/>
      <c r="L429" s="651" t="s">
        <v>2140</v>
      </c>
      <c r="M429" s="651"/>
      <c r="N429" s="651"/>
      <c r="O429" s="651" t="s">
        <v>2181</v>
      </c>
      <c r="P429" s="651" t="s">
        <v>816</v>
      </c>
      <c r="Q429" s="651" t="s">
        <v>1074</v>
      </c>
      <c r="R429" s="651" t="s">
        <v>124</v>
      </c>
      <c r="S429" s="651" t="s">
        <v>125</v>
      </c>
    </row>
    <row r="430" spans="1:19">
      <c r="A430" s="649" t="s">
        <v>3570</v>
      </c>
      <c r="B430" s="649" t="s">
        <v>2168</v>
      </c>
      <c r="C430" s="652">
        <v>3798.2</v>
      </c>
      <c r="D430" s="650">
        <v>3800</v>
      </c>
      <c r="E430" s="650">
        <v>371.28</v>
      </c>
      <c r="F430" s="649">
        <v>0</v>
      </c>
      <c r="G430" s="649">
        <v>1.8</v>
      </c>
      <c r="H430" s="649">
        <v>0</v>
      </c>
      <c r="I430" s="649" t="s">
        <v>1625</v>
      </c>
      <c r="J430" s="649"/>
      <c r="K430" s="649"/>
      <c r="L430" s="651" t="s">
        <v>2140</v>
      </c>
      <c r="M430" s="651"/>
      <c r="N430" s="651"/>
      <c r="O430" s="651" t="s">
        <v>1827</v>
      </c>
      <c r="P430" s="651" t="s">
        <v>816</v>
      </c>
      <c r="Q430" s="651" t="s">
        <v>1074</v>
      </c>
      <c r="R430" s="651" t="s">
        <v>793</v>
      </c>
      <c r="S430" s="651"/>
    </row>
    <row r="431" spans="1:19">
      <c r="A431" s="649" t="s">
        <v>3571</v>
      </c>
      <c r="B431" s="649" t="s">
        <v>2168</v>
      </c>
      <c r="C431" s="652">
        <v>4362.93</v>
      </c>
      <c r="D431" s="650">
        <v>4400</v>
      </c>
      <c r="E431" s="650">
        <v>448.35</v>
      </c>
      <c r="F431" s="649">
        <v>0</v>
      </c>
      <c r="G431" s="649">
        <v>37.07</v>
      </c>
      <c r="H431" s="649">
        <v>1</v>
      </c>
      <c r="I431" s="649" t="s">
        <v>1625</v>
      </c>
      <c r="J431" s="649"/>
      <c r="K431" s="649"/>
      <c r="L431" s="651" t="s">
        <v>2140</v>
      </c>
      <c r="M431" s="651"/>
      <c r="N431" s="651"/>
      <c r="O431" s="651" t="s">
        <v>2182</v>
      </c>
      <c r="P431" s="651" t="s">
        <v>816</v>
      </c>
      <c r="Q431" s="651" t="s">
        <v>1074</v>
      </c>
      <c r="R431" s="651" t="s">
        <v>128</v>
      </c>
      <c r="S431" s="651" t="s">
        <v>129</v>
      </c>
    </row>
    <row r="432" spans="1:19">
      <c r="A432" s="649" t="s">
        <v>3572</v>
      </c>
      <c r="B432" s="649" t="s">
        <v>2168</v>
      </c>
      <c r="C432" s="652">
        <v>118.4</v>
      </c>
      <c r="D432" s="650">
        <v>210</v>
      </c>
      <c r="E432" s="650">
        <v>12.8</v>
      </c>
      <c r="F432" s="649">
        <v>0</v>
      </c>
      <c r="G432" s="649">
        <v>91.6</v>
      </c>
      <c r="H432" s="649">
        <v>44</v>
      </c>
      <c r="I432" s="649" t="s">
        <v>1625</v>
      </c>
      <c r="J432" s="649"/>
      <c r="K432" s="649"/>
      <c r="L432" s="651" t="s">
        <v>2140</v>
      </c>
      <c r="M432" s="651"/>
      <c r="N432" s="651"/>
      <c r="O432" s="651" t="s">
        <v>2180</v>
      </c>
      <c r="P432" s="651" t="s">
        <v>2486</v>
      </c>
      <c r="Q432" s="651" t="s">
        <v>1074</v>
      </c>
      <c r="R432" s="651" t="s">
        <v>802</v>
      </c>
      <c r="S432" s="651"/>
    </row>
    <row r="433" spans="1:19">
      <c r="A433" s="649" t="s">
        <v>3573</v>
      </c>
      <c r="B433" s="649" t="s">
        <v>2168</v>
      </c>
      <c r="C433" s="652">
        <v>0</v>
      </c>
      <c r="D433" s="650">
        <v>9383</v>
      </c>
      <c r="E433" s="650">
        <v>0</v>
      </c>
      <c r="F433" s="649">
        <v>0</v>
      </c>
      <c r="G433" s="649">
        <v>9383</v>
      </c>
      <c r="H433" s="649">
        <v>100</v>
      </c>
      <c r="I433" s="649" t="s">
        <v>1625</v>
      </c>
      <c r="J433" s="649"/>
      <c r="K433" s="649"/>
      <c r="L433" s="651" t="s">
        <v>2142</v>
      </c>
      <c r="M433" s="651"/>
      <c r="N433" s="651"/>
      <c r="O433" s="651"/>
      <c r="P433" s="651" t="s">
        <v>819</v>
      </c>
      <c r="Q433" s="651" t="s">
        <v>132</v>
      </c>
      <c r="R433" s="651" t="s">
        <v>133</v>
      </c>
      <c r="S433" s="651"/>
    </row>
    <row r="434" spans="1:19">
      <c r="A434" s="649" t="s">
        <v>3574</v>
      </c>
      <c r="B434" s="649" t="s">
        <v>2168</v>
      </c>
      <c r="C434" s="652">
        <v>0</v>
      </c>
      <c r="D434" s="650">
        <v>0</v>
      </c>
      <c r="E434" s="650">
        <v>0</v>
      </c>
      <c r="F434" s="649">
        <v>0</v>
      </c>
      <c r="G434" s="649">
        <v>0</v>
      </c>
      <c r="H434" s="649">
        <v>0</v>
      </c>
      <c r="I434" s="649" t="s">
        <v>1625</v>
      </c>
      <c r="J434" s="649"/>
      <c r="K434" s="649"/>
      <c r="L434" s="651" t="s">
        <v>2143</v>
      </c>
      <c r="M434" s="651"/>
      <c r="N434" s="651"/>
      <c r="O434" s="651"/>
      <c r="P434" s="651" t="s">
        <v>3252</v>
      </c>
      <c r="Q434" s="651" t="s">
        <v>780</v>
      </c>
      <c r="R434" s="651" t="s">
        <v>218</v>
      </c>
      <c r="S434" s="651"/>
    </row>
    <row r="435" spans="1:19">
      <c r="A435" s="649" t="s">
        <v>3575</v>
      </c>
      <c r="B435" s="649" t="s">
        <v>2168</v>
      </c>
      <c r="C435" s="652">
        <v>9218.16</v>
      </c>
      <c r="D435" s="650">
        <v>9300</v>
      </c>
      <c r="E435" s="650">
        <v>2516.7800000000002</v>
      </c>
      <c r="F435" s="649">
        <v>0</v>
      </c>
      <c r="G435" s="649">
        <v>81.84</v>
      </c>
      <c r="H435" s="649">
        <v>1</v>
      </c>
      <c r="I435" s="649" t="s">
        <v>1625</v>
      </c>
      <c r="J435" s="649"/>
      <c r="K435" s="649"/>
      <c r="L435" s="651" t="s">
        <v>2143</v>
      </c>
      <c r="M435" s="651"/>
      <c r="N435" s="651"/>
      <c r="O435" s="651"/>
      <c r="P435" s="651" t="s">
        <v>825</v>
      </c>
      <c r="Q435" s="651" t="s">
        <v>780</v>
      </c>
      <c r="R435" s="651" t="s">
        <v>826</v>
      </c>
      <c r="S435" s="651"/>
    </row>
    <row r="436" spans="1:19">
      <c r="A436" s="649" t="s">
        <v>3576</v>
      </c>
      <c r="B436" s="649" t="s">
        <v>2168</v>
      </c>
      <c r="C436" s="652">
        <v>10</v>
      </c>
      <c r="D436" s="650">
        <v>15</v>
      </c>
      <c r="E436" s="650">
        <v>0</v>
      </c>
      <c r="F436" s="649">
        <v>0</v>
      </c>
      <c r="G436" s="649">
        <v>5</v>
      </c>
      <c r="H436" s="649">
        <v>33</v>
      </c>
      <c r="I436" s="649" t="s">
        <v>1625</v>
      </c>
      <c r="J436" s="649"/>
      <c r="K436" s="649"/>
      <c r="L436" s="651" t="s">
        <v>2143</v>
      </c>
      <c r="M436" s="651"/>
      <c r="N436" s="651"/>
      <c r="O436" s="651"/>
      <c r="P436" s="651" t="s">
        <v>750</v>
      </c>
      <c r="Q436" s="651" t="s">
        <v>137</v>
      </c>
      <c r="R436" s="651" t="s">
        <v>1074</v>
      </c>
      <c r="S436" s="651" t="s">
        <v>278</v>
      </c>
    </row>
    <row r="437" spans="1:19">
      <c r="A437" s="649" t="s">
        <v>3577</v>
      </c>
      <c r="B437" s="649" t="s">
        <v>2168</v>
      </c>
      <c r="C437" s="652">
        <v>11228.28</v>
      </c>
      <c r="D437" s="650">
        <v>11500</v>
      </c>
      <c r="E437" s="650">
        <v>11228.28</v>
      </c>
      <c r="F437" s="649">
        <v>0</v>
      </c>
      <c r="G437" s="649">
        <v>271.72000000000003</v>
      </c>
      <c r="H437" s="649">
        <v>2</v>
      </c>
      <c r="I437" s="649" t="s">
        <v>1625</v>
      </c>
      <c r="J437" s="649"/>
      <c r="K437" s="649"/>
      <c r="L437" s="651" t="s">
        <v>2146</v>
      </c>
      <c r="M437" s="651"/>
      <c r="N437" s="651"/>
      <c r="O437" s="651"/>
      <c r="P437" s="651" t="s">
        <v>849</v>
      </c>
      <c r="Q437" s="651" t="s">
        <v>780</v>
      </c>
      <c r="R437" s="651" t="s">
        <v>850</v>
      </c>
      <c r="S437" s="651"/>
    </row>
    <row r="438" spans="1:19">
      <c r="A438" s="649" t="s">
        <v>3578</v>
      </c>
      <c r="B438" s="649" t="s">
        <v>2168</v>
      </c>
      <c r="C438" s="652">
        <v>2342.3200000000002</v>
      </c>
      <c r="D438" s="650">
        <v>2400</v>
      </c>
      <c r="E438" s="650">
        <v>702.68</v>
      </c>
      <c r="F438" s="649">
        <v>0</v>
      </c>
      <c r="G438" s="649">
        <v>57.68</v>
      </c>
      <c r="H438" s="649">
        <v>2</v>
      </c>
      <c r="I438" s="649" t="s">
        <v>1625</v>
      </c>
      <c r="J438" s="649"/>
      <c r="K438" s="649"/>
      <c r="L438" s="651" t="s">
        <v>2146</v>
      </c>
      <c r="M438" s="651"/>
      <c r="N438" s="651"/>
      <c r="O438" s="651"/>
      <c r="P438" s="651" t="s">
        <v>856</v>
      </c>
      <c r="Q438" s="651" t="s">
        <v>857</v>
      </c>
      <c r="R438" s="651"/>
      <c r="S438" s="651"/>
    </row>
    <row r="439" spans="1:19">
      <c r="A439" s="649" t="s">
        <v>3579</v>
      </c>
      <c r="B439" s="649" t="s">
        <v>2168</v>
      </c>
      <c r="C439" s="652">
        <v>23781.27</v>
      </c>
      <c r="D439" s="650">
        <v>23842</v>
      </c>
      <c r="E439" s="650">
        <v>512.58000000000004</v>
      </c>
      <c r="F439" s="649">
        <v>0</v>
      </c>
      <c r="G439" s="649">
        <v>60.73</v>
      </c>
      <c r="H439" s="649">
        <v>0</v>
      </c>
      <c r="I439" s="649" t="s">
        <v>1625</v>
      </c>
      <c r="J439" s="649"/>
      <c r="K439" s="649"/>
      <c r="L439" s="651" t="s">
        <v>2146</v>
      </c>
      <c r="M439" s="651"/>
      <c r="N439" s="651"/>
      <c r="O439" s="651"/>
      <c r="P439" s="651" t="s">
        <v>3248</v>
      </c>
      <c r="Q439" s="651"/>
      <c r="R439" s="651"/>
      <c r="S439" s="651"/>
    </row>
    <row r="440" spans="1:19">
      <c r="A440" s="649" t="s">
        <v>3580</v>
      </c>
      <c r="B440" s="649" t="s">
        <v>2168</v>
      </c>
      <c r="C440" s="652">
        <v>0</v>
      </c>
      <c r="D440" s="650">
        <v>0</v>
      </c>
      <c r="E440" s="650">
        <v>0</v>
      </c>
      <c r="F440" s="649">
        <v>0</v>
      </c>
      <c r="G440" s="649">
        <v>0</v>
      </c>
      <c r="H440" s="649">
        <v>0</v>
      </c>
      <c r="I440" s="649" t="s">
        <v>1625</v>
      </c>
      <c r="J440" s="649"/>
      <c r="K440" s="649"/>
      <c r="L440" s="651" t="s">
        <v>2146</v>
      </c>
      <c r="M440" s="651"/>
      <c r="N440" s="651"/>
      <c r="O440" s="651"/>
      <c r="P440" s="651" t="s">
        <v>253</v>
      </c>
      <c r="Q440" s="651" t="s">
        <v>780</v>
      </c>
      <c r="R440" s="651" t="s">
        <v>254</v>
      </c>
      <c r="S440" s="651"/>
    </row>
    <row r="441" spans="1:19">
      <c r="A441" s="649" t="s">
        <v>3581</v>
      </c>
      <c r="B441" s="649" t="s">
        <v>2168</v>
      </c>
      <c r="C441" s="652">
        <v>1060.3800000000001</v>
      </c>
      <c r="D441" s="650">
        <v>1300</v>
      </c>
      <c r="E441" s="650">
        <v>0</v>
      </c>
      <c r="F441" s="649">
        <v>0</v>
      </c>
      <c r="G441" s="649">
        <v>239.62</v>
      </c>
      <c r="H441" s="649">
        <v>18</v>
      </c>
      <c r="I441" s="649" t="s">
        <v>1625</v>
      </c>
      <c r="J441" s="649"/>
      <c r="K441" s="649"/>
      <c r="L441" s="651" t="s">
        <v>2146</v>
      </c>
      <c r="M441" s="651"/>
      <c r="N441" s="651"/>
      <c r="O441" s="651"/>
      <c r="P441" s="651" t="s">
        <v>878</v>
      </c>
      <c r="Q441" s="651" t="s">
        <v>780</v>
      </c>
      <c r="R441" s="651" t="s">
        <v>879</v>
      </c>
      <c r="S441" s="651"/>
    </row>
    <row r="442" spans="1:19">
      <c r="A442" s="649" t="s">
        <v>3582</v>
      </c>
      <c r="B442" s="649" t="s">
        <v>2168</v>
      </c>
      <c r="C442" s="652">
        <v>10726.04</v>
      </c>
      <c r="D442" s="650">
        <v>11000</v>
      </c>
      <c r="E442" s="650">
        <v>3606.78</v>
      </c>
      <c r="F442" s="649">
        <v>0</v>
      </c>
      <c r="G442" s="649">
        <v>273.95999999999998</v>
      </c>
      <c r="H442" s="649">
        <v>2</v>
      </c>
      <c r="I442" s="649" t="s">
        <v>1625</v>
      </c>
      <c r="J442" s="649"/>
      <c r="K442" s="649"/>
      <c r="L442" s="651" t="s">
        <v>2146</v>
      </c>
      <c r="M442" s="651"/>
      <c r="N442" s="651"/>
      <c r="O442" s="651"/>
      <c r="P442" s="651" t="s">
        <v>881</v>
      </c>
      <c r="Q442" s="651" t="s">
        <v>780</v>
      </c>
      <c r="R442" s="651" t="s">
        <v>882</v>
      </c>
      <c r="S442" s="651"/>
    </row>
    <row r="443" spans="1:19">
      <c r="A443" s="649" t="s">
        <v>3583</v>
      </c>
      <c r="B443" s="649" t="s">
        <v>2168</v>
      </c>
      <c r="C443" s="652">
        <v>188965.67</v>
      </c>
      <c r="D443" s="650">
        <v>189000</v>
      </c>
      <c r="E443" s="650">
        <v>117659.11</v>
      </c>
      <c r="F443" s="649">
        <v>14.95</v>
      </c>
      <c r="G443" s="649">
        <v>34.33</v>
      </c>
      <c r="H443" s="649">
        <v>0</v>
      </c>
      <c r="I443" s="649" t="s">
        <v>1625</v>
      </c>
      <c r="J443" s="649"/>
      <c r="K443" s="649"/>
      <c r="L443" s="651" t="s">
        <v>2146</v>
      </c>
      <c r="M443" s="651"/>
      <c r="N443" s="651"/>
      <c r="O443" s="651"/>
      <c r="P443" s="651" t="s">
        <v>333</v>
      </c>
      <c r="Q443" s="651" t="s">
        <v>334</v>
      </c>
      <c r="R443" s="651"/>
      <c r="S443" s="651"/>
    </row>
    <row r="444" spans="1:19">
      <c r="A444" s="649" t="s">
        <v>3584</v>
      </c>
      <c r="B444" s="649" t="s">
        <v>2168</v>
      </c>
      <c r="C444" s="652">
        <v>77160.34</v>
      </c>
      <c r="D444" s="650">
        <v>78000</v>
      </c>
      <c r="E444" s="650">
        <v>20581.54</v>
      </c>
      <c r="F444" s="649">
        <v>0</v>
      </c>
      <c r="G444" s="649">
        <v>839.66</v>
      </c>
      <c r="H444" s="649">
        <v>1</v>
      </c>
      <c r="I444" s="649" t="s">
        <v>1625</v>
      </c>
      <c r="J444" s="649"/>
      <c r="K444" s="649"/>
      <c r="L444" s="651" t="s">
        <v>2146</v>
      </c>
      <c r="M444" s="651"/>
      <c r="N444" s="651"/>
      <c r="O444" s="651"/>
      <c r="P444" s="651" t="s">
        <v>63</v>
      </c>
      <c r="Q444" s="651" t="s">
        <v>780</v>
      </c>
      <c r="R444" s="651" t="s">
        <v>64</v>
      </c>
      <c r="S444" s="651"/>
    </row>
    <row r="445" spans="1:19">
      <c r="A445" s="649" t="s">
        <v>3585</v>
      </c>
      <c r="B445" s="649" t="s">
        <v>2168</v>
      </c>
      <c r="C445" s="652">
        <v>0</v>
      </c>
      <c r="D445" s="650">
        <v>4260</v>
      </c>
      <c r="E445" s="650">
        <v>0</v>
      </c>
      <c r="F445" s="649">
        <v>0</v>
      </c>
      <c r="G445" s="649">
        <v>4260</v>
      </c>
      <c r="H445" s="649">
        <v>100</v>
      </c>
      <c r="I445" s="649" t="s">
        <v>1625</v>
      </c>
      <c r="J445" s="649"/>
      <c r="K445" s="649"/>
      <c r="L445" s="651" t="s">
        <v>2146</v>
      </c>
      <c r="M445" s="651"/>
      <c r="N445" s="651"/>
      <c r="O445" s="651"/>
      <c r="P445" s="651" t="s">
        <v>66</v>
      </c>
      <c r="Q445" s="651" t="s">
        <v>1074</v>
      </c>
      <c r="R445" s="651" t="s">
        <v>67</v>
      </c>
      <c r="S445" s="651"/>
    </row>
    <row r="446" spans="1:19">
      <c r="A446" s="649" t="s">
        <v>3586</v>
      </c>
      <c r="B446" s="649" t="s">
        <v>2168</v>
      </c>
      <c r="C446" s="652">
        <v>18193.39</v>
      </c>
      <c r="D446" s="650">
        <v>18200</v>
      </c>
      <c r="E446" s="650">
        <v>4549.16</v>
      </c>
      <c r="F446" s="649">
        <v>0</v>
      </c>
      <c r="G446" s="649">
        <v>6.61</v>
      </c>
      <c r="H446" s="649">
        <v>0</v>
      </c>
      <c r="I446" s="649" t="s">
        <v>1625</v>
      </c>
      <c r="J446" s="649"/>
      <c r="K446" s="649"/>
      <c r="L446" s="651" t="s">
        <v>2146</v>
      </c>
      <c r="M446" s="651"/>
      <c r="N446" s="651"/>
      <c r="O446" s="651"/>
      <c r="P446" s="651" t="s">
        <v>66</v>
      </c>
      <c r="Q446" s="651" t="s">
        <v>1074</v>
      </c>
      <c r="R446" s="651" t="s">
        <v>69</v>
      </c>
      <c r="S446" s="651"/>
    </row>
    <row r="447" spans="1:19">
      <c r="A447" s="649" t="s">
        <v>3587</v>
      </c>
      <c r="B447" s="649" t="s">
        <v>2168</v>
      </c>
      <c r="C447" s="652">
        <v>0</v>
      </c>
      <c r="D447" s="650">
        <v>0</v>
      </c>
      <c r="E447" s="650">
        <v>0</v>
      </c>
      <c r="F447" s="649">
        <v>0</v>
      </c>
      <c r="G447" s="649">
        <v>0</v>
      </c>
      <c r="H447" s="649">
        <v>0</v>
      </c>
      <c r="I447" s="649" t="s">
        <v>1625</v>
      </c>
      <c r="J447" s="649"/>
      <c r="K447" s="649"/>
      <c r="L447" s="651" t="s">
        <v>2146</v>
      </c>
      <c r="M447" s="651"/>
      <c r="N447" s="651"/>
      <c r="O447" s="651" t="s">
        <v>2147</v>
      </c>
      <c r="P447" s="651" t="s">
        <v>3588</v>
      </c>
      <c r="Q447" s="651" t="s">
        <v>2338</v>
      </c>
      <c r="R447" s="651" t="s">
        <v>3589</v>
      </c>
      <c r="S447" s="651"/>
    </row>
    <row r="448" spans="1:19">
      <c r="A448" s="649" t="s">
        <v>3590</v>
      </c>
      <c r="B448" s="649" t="s">
        <v>2168</v>
      </c>
      <c r="C448" s="652">
        <v>0</v>
      </c>
      <c r="D448" s="650">
        <v>0</v>
      </c>
      <c r="E448" s="650">
        <v>0</v>
      </c>
      <c r="F448" s="649">
        <v>0</v>
      </c>
      <c r="G448" s="649">
        <v>0</v>
      </c>
      <c r="H448" s="649">
        <v>0</v>
      </c>
      <c r="I448" s="649" t="s">
        <v>1625</v>
      </c>
      <c r="J448" s="649">
        <f>SUM(C421:C448)</f>
        <v>1026192.16</v>
      </c>
      <c r="K448" s="649"/>
      <c r="L448" s="651" t="s">
        <v>2146</v>
      </c>
      <c r="M448" s="651"/>
      <c r="N448" s="651"/>
      <c r="O448" s="651" t="s">
        <v>2147</v>
      </c>
      <c r="P448" s="651" t="s">
        <v>3591</v>
      </c>
      <c r="Q448" s="651" t="s">
        <v>3592</v>
      </c>
      <c r="R448" s="651"/>
      <c r="S448" s="651"/>
    </row>
    <row r="449" spans="1:19">
      <c r="A449" s="649" t="s">
        <v>3599</v>
      </c>
      <c r="B449" s="649" t="s">
        <v>2169</v>
      </c>
      <c r="C449" s="652">
        <v>0</v>
      </c>
      <c r="D449" s="650">
        <v>0</v>
      </c>
      <c r="E449" s="650">
        <v>0</v>
      </c>
      <c r="F449" s="649">
        <v>0</v>
      </c>
      <c r="G449" s="649">
        <v>0</v>
      </c>
      <c r="H449" s="649">
        <v>0</v>
      </c>
      <c r="I449" s="649" t="s">
        <v>773</v>
      </c>
      <c r="J449" s="649"/>
      <c r="K449" s="649"/>
      <c r="L449" s="651"/>
      <c r="M449" s="651"/>
      <c r="N449" s="651"/>
      <c r="O449" s="651"/>
      <c r="P449" s="651" t="s">
        <v>1924</v>
      </c>
      <c r="Q449" s="651" t="s">
        <v>1925</v>
      </c>
      <c r="R449" s="651" t="s">
        <v>1074</v>
      </c>
      <c r="S449" s="651" t="s">
        <v>3600</v>
      </c>
    </row>
    <row r="450" spans="1:19">
      <c r="A450" s="649" t="s">
        <v>3601</v>
      </c>
      <c r="B450" s="649" t="s">
        <v>1770</v>
      </c>
      <c r="C450" s="652">
        <v>-21728153.940000001</v>
      </c>
      <c r="D450" s="650">
        <v>-24840000</v>
      </c>
      <c r="E450" s="650">
        <v>-21600000</v>
      </c>
      <c r="F450" s="649">
        <v>0</v>
      </c>
      <c r="G450" s="649">
        <v>-3240000</v>
      </c>
      <c r="H450" s="649">
        <v>13</v>
      </c>
      <c r="I450" s="649" t="s">
        <v>773</v>
      </c>
      <c r="J450" s="649"/>
      <c r="K450" s="649"/>
      <c r="L450" s="651" t="s">
        <v>563</v>
      </c>
      <c r="M450" s="651"/>
      <c r="N450" s="651"/>
      <c r="O450" s="651" t="s">
        <v>36</v>
      </c>
      <c r="P450" s="651" t="s">
        <v>1924</v>
      </c>
      <c r="Q450" s="651" t="s">
        <v>1925</v>
      </c>
      <c r="R450" s="651" t="s">
        <v>1074</v>
      </c>
      <c r="S450" s="651" t="s">
        <v>111</v>
      </c>
    </row>
    <row r="451" spans="1:19">
      <c r="A451" s="649" t="s">
        <v>3602</v>
      </c>
      <c r="B451" s="649" t="s">
        <v>2169</v>
      </c>
      <c r="C451" s="652">
        <v>0</v>
      </c>
      <c r="D451" s="650">
        <v>0</v>
      </c>
      <c r="E451" s="650">
        <v>0</v>
      </c>
      <c r="F451" s="649">
        <v>0</v>
      </c>
      <c r="G451" s="649">
        <v>0</v>
      </c>
      <c r="H451" s="649">
        <v>0</v>
      </c>
      <c r="I451" s="649" t="s">
        <v>773</v>
      </c>
      <c r="J451" s="649"/>
      <c r="K451" s="649"/>
      <c r="L451" s="651"/>
      <c r="M451" s="651"/>
      <c r="N451" s="651"/>
      <c r="O451" s="651"/>
      <c r="P451" s="651" t="s">
        <v>3603</v>
      </c>
      <c r="Q451" s="651" t="s">
        <v>3604</v>
      </c>
      <c r="R451" s="651" t="s">
        <v>3605</v>
      </c>
      <c r="S451" s="651"/>
    </row>
    <row r="452" spans="1:19">
      <c r="A452" s="649" t="s">
        <v>3606</v>
      </c>
      <c r="B452" s="649" t="s">
        <v>2169</v>
      </c>
      <c r="C452" s="652">
        <v>0</v>
      </c>
      <c r="D452" s="650">
        <v>0</v>
      </c>
      <c r="E452" s="650">
        <v>8423.11</v>
      </c>
      <c r="F452" s="649">
        <v>0</v>
      </c>
      <c r="G452" s="649">
        <v>0</v>
      </c>
      <c r="H452" s="649">
        <v>0</v>
      </c>
      <c r="I452" s="649" t="s">
        <v>773</v>
      </c>
      <c r="J452" s="649"/>
      <c r="K452" s="649"/>
      <c r="L452" s="651"/>
      <c r="M452" s="651"/>
      <c r="N452" s="651"/>
      <c r="O452" s="651"/>
      <c r="P452" s="651" t="s">
        <v>769</v>
      </c>
      <c r="Q452" s="651" t="s">
        <v>689</v>
      </c>
      <c r="R452" s="651"/>
      <c r="S452" s="651"/>
    </row>
    <row r="453" spans="1:19">
      <c r="A453" s="649" t="s">
        <v>3607</v>
      </c>
      <c r="B453" s="649" t="s">
        <v>2169</v>
      </c>
      <c r="C453" s="652">
        <v>-154420.70000000001</v>
      </c>
      <c r="D453" s="650">
        <v>-140990</v>
      </c>
      <c r="E453" s="650">
        <v>-34833.300000000003</v>
      </c>
      <c r="F453" s="649">
        <v>0</v>
      </c>
      <c r="G453" s="649">
        <v>13430.7</v>
      </c>
      <c r="H453" s="649">
        <v>-10</v>
      </c>
      <c r="I453" s="649" t="s">
        <v>773</v>
      </c>
      <c r="J453" s="649"/>
      <c r="K453" s="649"/>
      <c r="L453" s="651" t="s">
        <v>1681</v>
      </c>
      <c r="M453" s="651"/>
      <c r="N453" s="651"/>
      <c r="O453" s="651"/>
      <c r="P453" s="651" t="s">
        <v>1644</v>
      </c>
      <c r="Q453" s="651" t="s">
        <v>1074</v>
      </c>
      <c r="R453" s="651" t="s">
        <v>713</v>
      </c>
      <c r="S453" s="651" t="s">
        <v>1892</v>
      </c>
    </row>
    <row r="454" spans="1:19">
      <c r="A454" s="649" t="s">
        <v>3608</v>
      </c>
      <c r="B454" s="649" t="s">
        <v>2169</v>
      </c>
      <c r="C454" s="652">
        <v>-78426.62</v>
      </c>
      <c r="D454" s="650">
        <v>-58806</v>
      </c>
      <c r="E454" s="650">
        <v>-8929.73</v>
      </c>
      <c r="F454" s="649">
        <v>0</v>
      </c>
      <c r="G454" s="649">
        <v>19620.62</v>
      </c>
      <c r="H454" s="649">
        <v>-33</v>
      </c>
      <c r="I454" s="649" t="s">
        <v>773</v>
      </c>
      <c r="J454" s="649"/>
      <c r="K454" s="649"/>
      <c r="L454" s="651" t="s">
        <v>31</v>
      </c>
      <c r="M454" s="651"/>
      <c r="N454" s="651"/>
      <c r="O454" s="651"/>
      <c r="P454" s="651" t="s">
        <v>254</v>
      </c>
      <c r="Q454" s="651" t="s">
        <v>1074</v>
      </c>
      <c r="R454" s="651" t="s">
        <v>3609</v>
      </c>
      <c r="S454" s="651"/>
    </row>
    <row r="455" spans="1:19">
      <c r="A455" s="649" t="s">
        <v>3593</v>
      </c>
      <c r="B455" s="649" t="s">
        <v>2169</v>
      </c>
      <c r="C455" s="652">
        <v>-836645</v>
      </c>
      <c r="D455" s="650">
        <v>0</v>
      </c>
      <c r="E455" s="650">
        <v>-836645</v>
      </c>
      <c r="F455" s="649">
        <v>0</v>
      </c>
      <c r="G455" s="649">
        <v>836645</v>
      </c>
      <c r="H455" s="649">
        <v>9999</v>
      </c>
      <c r="I455" s="649" t="s">
        <v>773</v>
      </c>
      <c r="J455" s="649"/>
      <c r="K455" s="649"/>
      <c r="L455" s="651" t="s">
        <v>2372</v>
      </c>
      <c r="M455" s="651"/>
      <c r="N455" s="651"/>
      <c r="O455" s="651"/>
      <c r="P455" s="651" t="s">
        <v>1943</v>
      </c>
      <c r="Q455" s="651" t="s">
        <v>3594</v>
      </c>
      <c r="R455" s="651" t="s">
        <v>3595</v>
      </c>
      <c r="S455" s="651"/>
    </row>
    <row r="456" spans="1:19">
      <c r="A456" s="649" t="s">
        <v>3596</v>
      </c>
      <c r="B456" s="649" t="s">
        <v>2169</v>
      </c>
      <c r="C456" s="652">
        <v>-650000</v>
      </c>
      <c r="D456" s="650">
        <v>0</v>
      </c>
      <c r="E456" s="650">
        <v>-650000</v>
      </c>
      <c r="F456" s="649">
        <v>0</v>
      </c>
      <c r="G456" s="649">
        <v>650000</v>
      </c>
      <c r="H456" s="649">
        <v>9999</v>
      </c>
      <c r="I456" s="649" t="s">
        <v>773</v>
      </c>
      <c r="J456" s="649"/>
      <c r="K456" s="649">
        <f>SUM(C449:C456)</f>
        <v>-23447646.260000002</v>
      </c>
      <c r="L456" s="651" t="s">
        <v>2372</v>
      </c>
      <c r="M456" s="651"/>
      <c r="N456" s="651"/>
      <c r="O456" s="651"/>
      <c r="P456" s="651" t="s">
        <v>3597</v>
      </c>
      <c r="Q456" s="651" t="s">
        <v>3598</v>
      </c>
      <c r="R456" s="651"/>
      <c r="S456" s="651"/>
    </row>
    <row r="457" spans="1:19">
      <c r="A457" s="649" t="s">
        <v>3610</v>
      </c>
      <c r="B457" s="649" t="s">
        <v>2169</v>
      </c>
      <c r="C457" s="652">
        <v>1748379.14</v>
      </c>
      <c r="D457" s="650">
        <v>1748500</v>
      </c>
      <c r="E457" s="650">
        <v>143554.29</v>
      </c>
      <c r="F457" s="649">
        <v>0</v>
      </c>
      <c r="G457" s="649">
        <v>120.86</v>
      </c>
      <c r="H457" s="649">
        <v>0</v>
      </c>
      <c r="I457" s="649" t="s">
        <v>1625</v>
      </c>
      <c r="J457" s="649"/>
      <c r="K457" s="649"/>
      <c r="L457" s="651" t="s">
        <v>2140</v>
      </c>
      <c r="M457" s="651"/>
      <c r="N457" s="651"/>
      <c r="O457" s="651" t="s">
        <v>2180</v>
      </c>
      <c r="P457" s="651" t="s">
        <v>103</v>
      </c>
      <c r="Q457" s="651" t="s">
        <v>104</v>
      </c>
      <c r="R457" s="651" t="s">
        <v>1074</v>
      </c>
      <c r="S457" s="651" t="s">
        <v>105</v>
      </c>
    </row>
    <row r="458" spans="1:19">
      <c r="A458" s="649" t="s">
        <v>3611</v>
      </c>
      <c r="B458" s="649" t="s">
        <v>2169</v>
      </c>
      <c r="C458" s="652">
        <v>305722.94</v>
      </c>
      <c r="D458" s="650">
        <v>306000</v>
      </c>
      <c r="E458" s="650">
        <v>38045.1</v>
      </c>
      <c r="F458" s="649">
        <v>0</v>
      </c>
      <c r="G458" s="649">
        <v>277.06</v>
      </c>
      <c r="H458" s="649">
        <v>0</v>
      </c>
      <c r="I458" s="649" t="s">
        <v>1625</v>
      </c>
      <c r="J458" s="649"/>
      <c r="K458" s="649"/>
      <c r="L458" s="651" t="s">
        <v>2140</v>
      </c>
      <c r="M458" s="651"/>
      <c r="N458" s="651"/>
      <c r="O458" s="651" t="s">
        <v>2180</v>
      </c>
      <c r="P458" s="651" t="s">
        <v>107</v>
      </c>
      <c r="Q458" s="651" t="s">
        <v>1074</v>
      </c>
      <c r="R458" s="651" t="s">
        <v>108</v>
      </c>
      <c r="S458" s="651"/>
    </row>
    <row r="459" spans="1:19">
      <c r="A459" s="649" t="s">
        <v>3612</v>
      </c>
      <c r="B459" s="649" t="s">
        <v>2169</v>
      </c>
      <c r="C459" s="652">
        <v>129996.95</v>
      </c>
      <c r="D459" s="650">
        <v>163181</v>
      </c>
      <c r="E459" s="650">
        <v>6510.2</v>
      </c>
      <c r="F459" s="649">
        <v>0</v>
      </c>
      <c r="G459" s="649">
        <v>33184.050000000003</v>
      </c>
      <c r="H459" s="649">
        <v>20</v>
      </c>
      <c r="I459" s="649" t="s">
        <v>1625</v>
      </c>
      <c r="J459" s="649"/>
      <c r="K459" s="649"/>
      <c r="L459" s="651" t="s">
        <v>2140</v>
      </c>
      <c r="M459" s="651"/>
      <c r="N459" s="651"/>
      <c r="O459" s="651" t="s">
        <v>2180</v>
      </c>
      <c r="P459" s="651" t="s">
        <v>77</v>
      </c>
      <c r="Q459" s="651" t="s">
        <v>110</v>
      </c>
      <c r="R459" s="651" t="s">
        <v>1074</v>
      </c>
      <c r="S459" s="651" t="s">
        <v>111</v>
      </c>
    </row>
    <row r="460" spans="1:19">
      <c r="A460" s="649" t="s">
        <v>3613</v>
      </c>
      <c r="B460" s="649" t="s">
        <v>2169</v>
      </c>
      <c r="C460" s="652">
        <v>38755.57</v>
      </c>
      <c r="D460" s="650">
        <v>38800</v>
      </c>
      <c r="E460" s="650">
        <v>3824.96</v>
      </c>
      <c r="F460" s="649">
        <v>0</v>
      </c>
      <c r="G460" s="649">
        <v>44.43</v>
      </c>
      <c r="H460" s="649">
        <v>0</v>
      </c>
      <c r="I460" s="649" t="s">
        <v>1625</v>
      </c>
      <c r="J460" s="649"/>
      <c r="K460" s="649"/>
      <c r="L460" s="651" t="s">
        <v>2140</v>
      </c>
      <c r="M460" s="651"/>
      <c r="N460" s="651"/>
      <c r="O460" s="651" t="s">
        <v>2180</v>
      </c>
      <c r="P460" s="651" t="s">
        <v>1959</v>
      </c>
      <c r="Q460" s="651" t="s">
        <v>805</v>
      </c>
      <c r="R460" s="651"/>
      <c r="S460" s="651"/>
    </row>
    <row r="461" spans="1:19">
      <c r="A461" s="649" t="s">
        <v>3614</v>
      </c>
      <c r="B461" s="649" t="s">
        <v>2169</v>
      </c>
      <c r="C461" s="652">
        <v>622.49</v>
      </c>
      <c r="D461" s="650">
        <v>700</v>
      </c>
      <c r="E461" s="650">
        <v>0</v>
      </c>
      <c r="F461" s="649">
        <v>0</v>
      </c>
      <c r="G461" s="649">
        <v>77.510000000000005</v>
      </c>
      <c r="H461" s="649">
        <v>11</v>
      </c>
      <c r="I461" s="649" t="s">
        <v>1625</v>
      </c>
      <c r="J461" s="649"/>
      <c r="K461" s="649"/>
      <c r="L461" s="651" t="s">
        <v>2140</v>
      </c>
      <c r="M461" s="651"/>
      <c r="N461" s="651"/>
      <c r="O461" s="651" t="s">
        <v>2180</v>
      </c>
      <c r="P461" s="651" t="s">
        <v>713</v>
      </c>
      <c r="Q461" s="651" t="s">
        <v>3445</v>
      </c>
      <c r="R461" s="651" t="s">
        <v>1074</v>
      </c>
      <c r="S461" s="651"/>
    </row>
    <row r="462" spans="1:19">
      <c r="A462" s="649" t="s">
        <v>3615</v>
      </c>
      <c r="B462" s="649" t="s">
        <v>2169</v>
      </c>
      <c r="C462" s="652">
        <v>0</v>
      </c>
      <c r="D462" s="650">
        <v>0</v>
      </c>
      <c r="E462" s="650">
        <v>0</v>
      </c>
      <c r="F462" s="649">
        <v>0</v>
      </c>
      <c r="G462" s="649">
        <v>0</v>
      </c>
      <c r="H462" s="649">
        <v>0</v>
      </c>
      <c r="I462" s="649" t="s">
        <v>1625</v>
      </c>
      <c r="J462" s="649"/>
      <c r="K462" s="649"/>
      <c r="L462" s="651" t="s">
        <v>2140</v>
      </c>
      <c r="M462" s="651"/>
      <c r="N462" s="651"/>
      <c r="O462" s="651" t="s">
        <v>2180</v>
      </c>
      <c r="P462" s="651" t="s">
        <v>915</v>
      </c>
      <c r="Q462" s="651" t="s">
        <v>114</v>
      </c>
      <c r="R462" s="651" t="s">
        <v>1074</v>
      </c>
      <c r="S462" s="651" t="s">
        <v>115</v>
      </c>
    </row>
    <row r="463" spans="1:19">
      <c r="A463" s="649" t="s">
        <v>3616</v>
      </c>
      <c r="B463" s="649" t="s">
        <v>2169</v>
      </c>
      <c r="C463" s="652">
        <v>7068</v>
      </c>
      <c r="D463" s="650">
        <v>7100</v>
      </c>
      <c r="E463" s="650">
        <v>624</v>
      </c>
      <c r="F463" s="649">
        <v>0</v>
      </c>
      <c r="G463" s="649">
        <v>32</v>
      </c>
      <c r="H463" s="649">
        <v>0</v>
      </c>
      <c r="I463" s="649" t="s">
        <v>1625</v>
      </c>
      <c r="J463" s="649"/>
      <c r="K463" s="649"/>
      <c r="L463" s="651" t="s">
        <v>2140</v>
      </c>
      <c r="M463" s="651"/>
      <c r="N463" s="651"/>
      <c r="O463" s="651" t="s">
        <v>1770</v>
      </c>
      <c r="P463" s="651" t="s">
        <v>1101</v>
      </c>
      <c r="Q463" s="651" t="s">
        <v>805</v>
      </c>
      <c r="R463" s="651"/>
      <c r="S463" s="651"/>
    </row>
    <row r="464" spans="1:19">
      <c r="A464" s="649" t="s">
        <v>3617</v>
      </c>
      <c r="B464" s="649" t="s">
        <v>2169</v>
      </c>
      <c r="C464" s="652">
        <v>45824.17</v>
      </c>
      <c r="D464" s="650">
        <v>46000</v>
      </c>
      <c r="E464" s="650">
        <v>3597.34</v>
      </c>
      <c r="F464" s="649">
        <v>0</v>
      </c>
      <c r="G464" s="649">
        <v>175.83</v>
      </c>
      <c r="H464" s="649">
        <v>0</v>
      </c>
      <c r="I464" s="649" t="s">
        <v>1625</v>
      </c>
      <c r="J464" s="649"/>
      <c r="K464" s="649"/>
      <c r="L464" s="651" t="s">
        <v>2140</v>
      </c>
      <c r="M464" s="651"/>
      <c r="N464" s="651"/>
      <c r="O464" s="651" t="s">
        <v>2180</v>
      </c>
      <c r="P464" s="651" t="s">
        <v>118</v>
      </c>
      <c r="Q464" s="651" t="s">
        <v>805</v>
      </c>
      <c r="R464" s="651"/>
      <c r="S464" s="651"/>
    </row>
    <row r="465" spans="1:19">
      <c r="A465" s="649" t="s">
        <v>3618</v>
      </c>
      <c r="B465" s="649" t="s">
        <v>2169</v>
      </c>
      <c r="C465" s="652">
        <v>29530.799999999999</v>
      </c>
      <c r="D465" s="650">
        <v>30000</v>
      </c>
      <c r="E465" s="650">
        <v>2412.6</v>
      </c>
      <c r="F465" s="649">
        <v>0</v>
      </c>
      <c r="G465" s="649">
        <v>469.2</v>
      </c>
      <c r="H465" s="649">
        <v>2</v>
      </c>
      <c r="I465" s="649" t="s">
        <v>1625</v>
      </c>
      <c r="J465" s="649"/>
      <c r="K465" s="649"/>
      <c r="L465" s="651" t="s">
        <v>2140</v>
      </c>
      <c r="M465" s="651"/>
      <c r="N465" s="651"/>
      <c r="O465" s="651" t="s">
        <v>2178</v>
      </c>
      <c r="P465" s="651" t="s">
        <v>816</v>
      </c>
      <c r="Q465" s="651" t="s">
        <v>1074</v>
      </c>
      <c r="R465" s="651" t="s">
        <v>796</v>
      </c>
      <c r="S465" s="651" t="s">
        <v>797</v>
      </c>
    </row>
    <row r="466" spans="1:19">
      <c r="A466" s="649" t="s">
        <v>3619</v>
      </c>
      <c r="B466" s="649" t="s">
        <v>2169</v>
      </c>
      <c r="C466" s="652">
        <v>351422.69</v>
      </c>
      <c r="D466" s="650">
        <v>351500</v>
      </c>
      <c r="E466" s="650">
        <v>31083.279999999999</v>
      </c>
      <c r="F466" s="649">
        <v>0</v>
      </c>
      <c r="G466" s="649">
        <v>77.31</v>
      </c>
      <c r="H466" s="649">
        <v>0</v>
      </c>
      <c r="I466" s="649" t="s">
        <v>1625</v>
      </c>
      <c r="J466" s="649"/>
      <c r="K466" s="649"/>
      <c r="L466" s="651" t="s">
        <v>2140</v>
      </c>
      <c r="M466" s="651"/>
      <c r="N466" s="651"/>
      <c r="O466" s="651" t="s">
        <v>2181</v>
      </c>
      <c r="P466" s="651" t="s">
        <v>816</v>
      </c>
      <c r="Q466" s="651" t="s">
        <v>1074</v>
      </c>
      <c r="R466" s="651" t="s">
        <v>124</v>
      </c>
      <c r="S466" s="651" t="s">
        <v>125</v>
      </c>
    </row>
    <row r="467" spans="1:19">
      <c r="A467" s="649" t="s">
        <v>3620</v>
      </c>
      <c r="B467" s="649" t="s">
        <v>2169</v>
      </c>
      <c r="C467" s="652">
        <v>19890.439999999999</v>
      </c>
      <c r="D467" s="650">
        <v>20000</v>
      </c>
      <c r="E467" s="650">
        <v>1800.51</v>
      </c>
      <c r="F467" s="649">
        <v>0</v>
      </c>
      <c r="G467" s="649">
        <v>109.56</v>
      </c>
      <c r="H467" s="649">
        <v>1</v>
      </c>
      <c r="I467" s="649" t="s">
        <v>1625</v>
      </c>
      <c r="J467" s="649"/>
      <c r="K467" s="649"/>
      <c r="L467" s="651" t="s">
        <v>2140</v>
      </c>
      <c r="M467" s="651"/>
      <c r="N467" s="651"/>
      <c r="O467" s="651" t="s">
        <v>1827</v>
      </c>
      <c r="P467" s="651" t="s">
        <v>816</v>
      </c>
      <c r="Q467" s="651" t="s">
        <v>1074</v>
      </c>
      <c r="R467" s="651" t="s">
        <v>793</v>
      </c>
      <c r="S467" s="651"/>
    </row>
    <row r="468" spans="1:19">
      <c r="A468" s="649" t="s">
        <v>3621</v>
      </c>
      <c r="B468" s="649" t="s">
        <v>2169</v>
      </c>
      <c r="C468" s="652">
        <v>4935.0600000000004</v>
      </c>
      <c r="D468" s="650">
        <v>5000</v>
      </c>
      <c r="E468" s="650">
        <v>462.11</v>
      </c>
      <c r="F468" s="649">
        <v>0</v>
      </c>
      <c r="G468" s="649">
        <v>64.94</v>
      </c>
      <c r="H468" s="649">
        <v>1</v>
      </c>
      <c r="I468" s="649" t="s">
        <v>1625</v>
      </c>
      <c r="J468" s="649"/>
      <c r="K468" s="649"/>
      <c r="L468" s="651" t="s">
        <v>2140</v>
      </c>
      <c r="M468" s="651"/>
      <c r="N468" s="651"/>
      <c r="O468" s="651" t="s">
        <v>2182</v>
      </c>
      <c r="P468" s="651" t="s">
        <v>816</v>
      </c>
      <c r="Q468" s="651" t="s">
        <v>1074</v>
      </c>
      <c r="R468" s="651" t="s">
        <v>128</v>
      </c>
      <c r="S468" s="651" t="s">
        <v>129</v>
      </c>
    </row>
    <row r="469" spans="1:19">
      <c r="A469" s="649" t="s">
        <v>3622</v>
      </c>
      <c r="B469" s="649" t="s">
        <v>2169</v>
      </c>
      <c r="C469" s="652">
        <v>1395.2</v>
      </c>
      <c r="D469" s="650">
        <v>1400</v>
      </c>
      <c r="E469" s="650">
        <v>124.8</v>
      </c>
      <c r="F469" s="649">
        <v>0</v>
      </c>
      <c r="G469" s="649">
        <v>4.8</v>
      </c>
      <c r="H469" s="649">
        <v>0</v>
      </c>
      <c r="I469" s="649" t="s">
        <v>1625</v>
      </c>
      <c r="J469" s="649"/>
      <c r="K469" s="649"/>
      <c r="L469" s="651" t="s">
        <v>2140</v>
      </c>
      <c r="M469" s="651"/>
      <c r="N469" s="651"/>
      <c r="O469" s="651" t="s">
        <v>2180</v>
      </c>
      <c r="P469" s="651" t="s">
        <v>2486</v>
      </c>
      <c r="Q469" s="651" t="s">
        <v>1074</v>
      </c>
      <c r="R469" s="651" t="s">
        <v>802</v>
      </c>
      <c r="S469" s="651"/>
    </row>
    <row r="470" spans="1:19">
      <c r="A470" s="649" t="s">
        <v>3623</v>
      </c>
      <c r="B470" s="649" t="s">
        <v>2169</v>
      </c>
      <c r="C470" s="652">
        <v>0</v>
      </c>
      <c r="D470" s="650">
        <v>177463</v>
      </c>
      <c r="E470" s="650">
        <v>0</v>
      </c>
      <c r="F470" s="649">
        <v>0</v>
      </c>
      <c r="G470" s="649">
        <v>177463</v>
      </c>
      <c r="H470" s="649">
        <v>100</v>
      </c>
      <c r="I470" s="649" t="s">
        <v>1625</v>
      </c>
      <c r="J470" s="649"/>
      <c r="K470" s="649"/>
      <c r="L470" s="651" t="s">
        <v>2142</v>
      </c>
      <c r="M470" s="651"/>
      <c r="N470" s="651"/>
      <c r="O470" s="651"/>
      <c r="P470" s="651" t="s">
        <v>819</v>
      </c>
      <c r="Q470" s="651" t="s">
        <v>132</v>
      </c>
      <c r="R470" s="651" t="s">
        <v>133</v>
      </c>
      <c r="S470" s="651"/>
    </row>
    <row r="471" spans="1:19">
      <c r="A471" s="649" t="s">
        <v>3624</v>
      </c>
      <c r="B471" s="649" t="s">
        <v>2169</v>
      </c>
      <c r="C471" s="652">
        <v>102581.56</v>
      </c>
      <c r="D471" s="650">
        <v>104000</v>
      </c>
      <c r="E471" s="650">
        <v>25028.29</v>
      </c>
      <c r="F471" s="649">
        <v>0</v>
      </c>
      <c r="G471" s="649">
        <v>1418.44</v>
      </c>
      <c r="H471" s="649">
        <v>1</v>
      </c>
      <c r="I471" s="649" t="s">
        <v>1625</v>
      </c>
      <c r="J471" s="649"/>
      <c r="K471" s="649"/>
      <c r="L471" s="651" t="s">
        <v>2143</v>
      </c>
      <c r="M471" s="651"/>
      <c r="N471" s="651"/>
      <c r="O471" s="651"/>
      <c r="P471" s="651" t="s">
        <v>825</v>
      </c>
      <c r="Q471" s="651" t="s">
        <v>780</v>
      </c>
      <c r="R471" s="651" t="s">
        <v>826</v>
      </c>
      <c r="S471" s="651"/>
    </row>
    <row r="472" spans="1:19">
      <c r="A472" s="649" t="s">
        <v>3625</v>
      </c>
      <c r="B472" s="649" t="s">
        <v>2169</v>
      </c>
      <c r="C472" s="652">
        <v>227639.72</v>
      </c>
      <c r="D472" s="650">
        <v>236000</v>
      </c>
      <c r="E472" s="650">
        <v>0</v>
      </c>
      <c r="F472" s="649">
        <v>0</v>
      </c>
      <c r="G472" s="649">
        <v>8360.2800000000007</v>
      </c>
      <c r="H472" s="649">
        <v>4</v>
      </c>
      <c r="I472" s="649" t="s">
        <v>1625</v>
      </c>
      <c r="J472" s="649"/>
      <c r="K472" s="649"/>
      <c r="L472" s="651" t="s">
        <v>2143</v>
      </c>
      <c r="M472" s="651"/>
      <c r="N472" s="651"/>
      <c r="O472" s="651"/>
      <c r="P472" s="651" t="s">
        <v>3626</v>
      </c>
      <c r="Q472" s="651" t="s">
        <v>3220</v>
      </c>
      <c r="R472" s="651"/>
      <c r="S472" s="651"/>
    </row>
    <row r="473" spans="1:19">
      <c r="A473" s="649" t="s">
        <v>3627</v>
      </c>
      <c r="B473" s="649" t="s">
        <v>2169</v>
      </c>
      <c r="C473" s="652">
        <v>0</v>
      </c>
      <c r="D473" s="650">
        <v>0</v>
      </c>
      <c r="E473" s="650">
        <v>0</v>
      </c>
      <c r="F473" s="649">
        <v>0</v>
      </c>
      <c r="G473" s="649">
        <v>0</v>
      </c>
      <c r="H473" s="649">
        <v>0</v>
      </c>
      <c r="I473" s="649" t="s">
        <v>1625</v>
      </c>
      <c r="J473" s="649"/>
      <c r="K473" s="649"/>
      <c r="L473" s="651" t="s">
        <v>2143</v>
      </c>
      <c r="M473" s="651"/>
      <c r="N473" s="651"/>
      <c r="O473" s="651"/>
      <c r="P473" s="651" t="s">
        <v>3628</v>
      </c>
      <c r="Q473" s="651" t="s">
        <v>780</v>
      </c>
      <c r="R473" s="651" t="s">
        <v>3629</v>
      </c>
      <c r="S473" s="651"/>
    </row>
    <row r="474" spans="1:19">
      <c r="A474" s="649" t="s">
        <v>3630</v>
      </c>
      <c r="B474" s="649" t="s">
        <v>2169</v>
      </c>
      <c r="C474" s="652">
        <v>3234.82</v>
      </c>
      <c r="D474" s="650">
        <v>3300</v>
      </c>
      <c r="E474" s="650">
        <v>0</v>
      </c>
      <c r="F474" s="649">
        <v>0</v>
      </c>
      <c r="G474" s="649">
        <v>65.180000000000007</v>
      </c>
      <c r="H474" s="649">
        <v>2</v>
      </c>
      <c r="I474" s="649" t="s">
        <v>1625</v>
      </c>
      <c r="J474" s="649"/>
      <c r="K474" s="649"/>
      <c r="L474" s="651" t="s">
        <v>2143</v>
      </c>
      <c r="M474" s="651"/>
      <c r="N474" s="651"/>
      <c r="O474" s="651"/>
      <c r="P474" s="651" t="s">
        <v>750</v>
      </c>
      <c r="Q474" s="651" t="s">
        <v>137</v>
      </c>
      <c r="R474" s="651" t="s">
        <v>1074</v>
      </c>
      <c r="S474" s="651" t="s">
        <v>278</v>
      </c>
    </row>
    <row r="475" spans="1:19">
      <c r="A475" s="649" t="s">
        <v>3631</v>
      </c>
      <c r="B475" s="649" t="s">
        <v>2169</v>
      </c>
      <c r="C475" s="652">
        <v>16200.31</v>
      </c>
      <c r="D475" s="650">
        <v>20000</v>
      </c>
      <c r="E475" s="650">
        <v>2079.6999999999998</v>
      </c>
      <c r="F475" s="649">
        <v>0</v>
      </c>
      <c r="G475" s="649">
        <v>3799.69</v>
      </c>
      <c r="H475" s="649">
        <v>19</v>
      </c>
      <c r="I475" s="649" t="s">
        <v>1625</v>
      </c>
      <c r="J475" s="649"/>
      <c r="K475" s="649"/>
      <c r="L475" s="651" t="s">
        <v>2143</v>
      </c>
      <c r="M475" s="651"/>
      <c r="N475" s="651"/>
      <c r="O475" s="651"/>
      <c r="P475" s="651" t="s">
        <v>750</v>
      </c>
      <c r="Q475" s="651" t="s">
        <v>137</v>
      </c>
      <c r="R475" s="651" t="s">
        <v>1074</v>
      </c>
      <c r="S475" s="651" t="s">
        <v>1908</v>
      </c>
    </row>
    <row r="476" spans="1:19">
      <c r="A476" s="649" t="s">
        <v>3632</v>
      </c>
      <c r="B476" s="649" t="s">
        <v>2169</v>
      </c>
      <c r="C476" s="652">
        <v>0</v>
      </c>
      <c r="D476" s="650">
        <v>0</v>
      </c>
      <c r="E476" s="650">
        <v>0</v>
      </c>
      <c r="F476" s="649">
        <v>0</v>
      </c>
      <c r="G476" s="649">
        <v>0</v>
      </c>
      <c r="H476" s="649">
        <v>0</v>
      </c>
      <c r="I476" s="649" t="s">
        <v>1625</v>
      </c>
      <c r="J476" s="649"/>
      <c r="K476" s="649"/>
      <c r="L476" s="651" t="s">
        <v>2143</v>
      </c>
      <c r="M476" s="651"/>
      <c r="N476" s="651"/>
      <c r="O476" s="651"/>
      <c r="P476" s="651" t="s">
        <v>136</v>
      </c>
      <c r="Q476" s="651" t="s">
        <v>137</v>
      </c>
      <c r="R476" s="651"/>
      <c r="S476" s="651"/>
    </row>
    <row r="477" spans="1:19">
      <c r="A477" s="649" t="s">
        <v>3633</v>
      </c>
      <c r="B477" s="649" t="s">
        <v>2169</v>
      </c>
      <c r="C477" s="652">
        <v>0</v>
      </c>
      <c r="D477" s="650">
        <v>103192</v>
      </c>
      <c r="E477" s="650">
        <v>0</v>
      </c>
      <c r="F477" s="649">
        <v>0</v>
      </c>
      <c r="G477" s="649">
        <v>103192</v>
      </c>
      <c r="H477" s="649">
        <v>100</v>
      </c>
      <c r="I477" s="649" t="s">
        <v>1625</v>
      </c>
      <c r="J477" s="649"/>
      <c r="K477" s="649"/>
      <c r="L477" s="651" t="s">
        <v>3447</v>
      </c>
      <c r="M477" s="651"/>
      <c r="N477" s="651"/>
      <c r="O477" s="651" t="s">
        <v>2144</v>
      </c>
      <c r="P477" s="651" t="s">
        <v>3241</v>
      </c>
      <c r="Q477" s="651" t="s">
        <v>828</v>
      </c>
      <c r="R477" s="651"/>
      <c r="S477" s="651"/>
    </row>
    <row r="478" spans="1:19">
      <c r="A478" s="649" t="s">
        <v>3634</v>
      </c>
      <c r="B478" s="649" t="s">
        <v>2169</v>
      </c>
      <c r="C478" s="652">
        <v>0</v>
      </c>
      <c r="D478" s="650">
        <v>74979</v>
      </c>
      <c r="E478" s="650">
        <v>0</v>
      </c>
      <c r="F478" s="649">
        <v>0</v>
      </c>
      <c r="G478" s="649">
        <v>74979</v>
      </c>
      <c r="H478" s="649">
        <v>100</v>
      </c>
      <c r="I478" s="649" t="s">
        <v>1625</v>
      </c>
      <c r="J478" s="649"/>
      <c r="K478" s="649"/>
      <c r="L478" s="651" t="s">
        <v>3447</v>
      </c>
      <c r="M478" s="651"/>
      <c r="N478" s="651"/>
      <c r="O478" s="651" t="s">
        <v>2145</v>
      </c>
      <c r="P478" s="651" t="s">
        <v>3259</v>
      </c>
      <c r="Q478" s="651" t="s">
        <v>830</v>
      </c>
      <c r="R478" s="651"/>
      <c r="S478" s="651"/>
    </row>
    <row r="479" spans="1:19">
      <c r="A479" s="649" t="s">
        <v>3635</v>
      </c>
      <c r="B479" s="649" t="s">
        <v>2169</v>
      </c>
      <c r="C479" s="652">
        <v>44619.58</v>
      </c>
      <c r="D479" s="650">
        <v>44750</v>
      </c>
      <c r="E479" s="650">
        <v>44056.26</v>
      </c>
      <c r="F479" s="649">
        <v>0</v>
      </c>
      <c r="G479" s="649">
        <v>130.41999999999999</v>
      </c>
      <c r="H479" s="649">
        <v>0</v>
      </c>
      <c r="I479" s="649" t="s">
        <v>1625</v>
      </c>
      <c r="J479" s="649"/>
      <c r="K479" s="649"/>
      <c r="L479" s="651" t="s">
        <v>2146</v>
      </c>
      <c r="M479" s="651"/>
      <c r="N479" s="651"/>
      <c r="O479" s="651"/>
      <c r="P479" s="651" t="s">
        <v>856</v>
      </c>
      <c r="Q479" s="651" t="s">
        <v>857</v>
      </c>
      <c r="R479" s="651"/>
      <c r="S479" s="651"/>
    </row>
    <row r="480" spans="1:19">
      <c r="A480" s="649" t="s">
        <v>3636</v>
      </c>
      <c r="B480" s="649" t="s">
        <v>2169</v>
      </c>
      <c r="C480" s="652">
        <v>72970.61</v>
      </c>
      <c r="D480" s="650">
        <v>73000</v>
      </c>
      <c r="E480" s="650">
        <v>55574.080000000002</v>
      </c>
      <c r="F480" s="649">
        <v>0</v>
      </c>
      <c r="G480" s="649">
        <v>29.39</v>
      </c>
      <c r="H480" s="649">
        <v>0</v>
      </c>
      <c r="I480" s="649" t="s">
        <v>1625</v>
      </c>
      <c r="J480" s="649"/>
      <c r="K480" s="649"/>
      <c r="L480" s="651" t="s">
        <v>2146</v>
      </c>
      <c r="M480" s="651"/>
      <c r="N480" s="651"/>
      <c r="O480" s="651"/>
      <c r="P480" s="651" t="s">
        <v>865</v>
      </c>
      <c r="Q480" s="651" t="s">
        <v>1074</v>
      </c>
      <c r="R480" s="651" t="s">
        <v>3368</v>
      </c>
      <c r="S480" s="651"/>
    </row>
    <row r="481" spans="1:19">
      <c r="A481" s="649" t="s">
        <v>966</v>
      </c>
      <c r="B481" s="649" t="s">
        <v>2169</v>
      </c>
      <c r="C481" s="652">
        <v>45113.279999999999</v>
      </c>
      <c r="D481" s="650">
        <v>45213</v>
      </c>
      <c r="E481" s="650">
        <v>0</v>
      </c>
      <c r="F481" s="649">
        <v>0</v>
      </c>
      <c r="G481" s="649">
        <v>99.72</v>
      </c>
      <c r="H481" s="649">
        <v>0</v>
      </c>
      <c r="I481" s="649" t="s">
        <v>1625</v>
      </c>
      <c r="J481" s="649"/>
      <c r="K481" s="649"/>
      <c r="L481" s="651" t="s">
        <v>2146</v>
      </c>
      <c r="M481" s="651"/>
      <c r="N481" s="651"/>
      <c r="O481" s="651"/>
      <c r="P481" s="651" t="s">
        <v>3248</v>
      </c>
      <c r="Q481" s="651"/>
      <c r="R481" s="651"/>
      <c r="S481" s="651"/>
    </row>
    <row r="482" spans="1:19">
      <c r="A482" s="649" t="s">
        <v>967</v>
      </c>
      <c r="B482" s="649" t="s">
        <v>2169</v>
      </c>
      <c r="C482" s="652">
        <v>3853.8</v>
      </c>
      <c r="D482" s="650">
        <v>5079</v>
      </c>
      <c r="E482" s="650">
        <v>0</v>
      </c>
      <c r="F482" s="649">
        <v>0</v>
      </c>
      <c r="G482" s="649">
        <v>1225.2</v>
      </c>
      <c r="H482" s="649">
        <v>24</v>
      </c>
      <c r="I482" s="649" t="s">
        <v>1625</v>
      </c>
      <c r="J482" s="649"/>
      <c r="K482" s="649"/>
      <c r="L482" s="651" t="s">
        <v>2146</v>
      </c>
      <c r="M482" s="651"/>
      <c r="N482" s="651"/>
      <c r="O482" s="651"/>
      <c r="P482" s="651" t="s">
        <v>867</v>
      </c>
      <c r="Q482" s="651" t="s">
        <v>780</v>
      </c>
      <c r="R482" s="651" t="s">
        <v>868</v>
      </c>
      <c r="S482" s="651"/>
    </row>
    <row r="483" spans="1:19">
      <c r="A483" s="649" t="s">
        <v>968</v>
      </c>
      <c r="B483" s="649" t="s">
        <v>2169</v>
      </c>
      <c r="C483" s="652">
        <v>246.46</v>
      </c>
      <c r="D483" s="650">
        <v>330</v>
      </c>
      <c r="E483" s="650">
        <v>0</v>
      </c>
      <c r="F483" s="649">
        <v>0</v>
      </c>
      <c r="G483" s="649">
        <v>83.54</v>
      </c>
      <c r="H483" s="649">
        <v>25</v>
      </c>
      <c r="I483" s="649" t="s">
        <v>1625</v>
      </c>
      <c r="J483" s="649"/>
      <c r="K483" s="649"/>
      <c r="L483" s="651" t="s">
        <v>2146</v>
      </c>
      <c r="M483" s="651"/>
      <c r="N483" s="651"/>
      <c r="O483" s="651"/>
      <c r="P483" s="651" t="s">
        <v>881</v>
      </c>
      <c r="Q483" s="651" t="s">
        <v>780</v>
      </c>
      <c r="R483" s="651" t="s">
        <v>882</v>
      </c>
      <c r="S483" s="651"/>
    </row>
    <row r="484" spans="1:19">
      <c r="A484" s="649" t="s">
        <v>969</v>
      </c>
      <c r="B484" s="649" t="s">
        <v>2169</v>
      </c>
      <c r="C484" s="652">
        <v>17718.78</v>
      </c>
      <c r="D484" s="650">
        <v>24000</v>
      </c>
      <c r="E484" s="650">
        <v>0</v>
      </c>
      <c r="F484" s="649">
        <v>0</v>
      </c>
      <c r="G484" s="649">
        <v>6281.22</v>
      </c>
      <c r="H484" s="649">
        <v>26</v>
      </c>
      <c r="I484" s="649" t="s">
        <v>1625</v>
      </c>
      <c r="J484" s="649"/>
      <c r="K484" s="649"/>
      <c r="L484" s="651" t="s">
        <v>2146</v>
      </c>
      <c r="M484" s="651"/>
      <c r="N484" s="651"/>
      <c r="O484" s="651"/>
      <c r="P484" s="651" t="s">
        <v>333</v>
      </c>
      <c r="Q484" s="651" t="s">
        <v>334</v>
      </c>
      <c r="R484" s="651"/>
      <c r="S484" s="651"/>
    </row>
    <row r="485" spans="1:19">
      <c r="A485" s="649" t="s">
        <v>970</v>
      </c>
      <c r="B485" s="649" t="s">
        <v>2169</v>
      </c>
      <c r="C485" s="652">
        <v>0</v>
      </c>
      <c r="D485" s="650">
        <v>0</v>
      </c>
      <c r="E485" s="650">
        <v>0</v>
      </c>
      <c r="F485" s="649">
        <v>0</v>
      </c>
      <c r="G485" s="649">
        <v>0</v>
      </c>
      <c r="H485" s="649">
        <v>0</v>
      </c>
      <c r="I485" s="649" t="s">
        <v>1625</v>
      </c>
      <c r="J485" s="649"/>
      <c r="K485" s="649"/>
      <c r="L485" s="651" t="s">
        <v>2146</v>
      </c>
      <c r="M485" s="651"/>
      <c r="N485" s="651"/>
      <c r="O485" s="651"/>
      <c r="P485" s="651" t="s">
        <v>63</v>
      </c>
      <c r="Q485" s="651" t="s">
        <v>780</v>
      </c>
      <c r="R485" s="651" t="s">
        <v>64</v>
      </c>
      <c r="S485" s="651"/>
    </row>
    <row r="486" spans="1:19">
      <c r="A486" s="649" t="s">
        <v>971</v>
      </c>
      <c r="B486" s="649" t="s">
        <v>2169</v>
      </c>
      <c r="C486" s="652">
        <v>0</v>
      </c>
      <c r="D486" s="650">
        <v>1975</v>
      </c>
      <c r="E486" s="650">
        <v>0</v>
      </c>
      <c r="F486" s="649">
        <v>0</v>
      </c>
      <c r="G486" s="649">
        <v>1975</v>
      </c>
      <c r="H486" s="649">
        <v>100</v>
      </c>
      <c r="I486" s="649" t="s">
        <v>1625</v>
      </c>
      <c r="J486" s="649"/>
      <c r="K486" s="649"/>
      <c r="L486" s="651" t="s">
        <v>2146</v>
      </c>
      <c r="M486" s="651"/>
      <c r="N486" s="651"/>
      <c r="O486" s="651"/>
      <c r="P486" s="651" t="s">
        <v>66</v>
      </c>
      <c r="Q486" s="651" t="s">
        <v>1074</v>
      </c>
      <c r="R486" s="651" t="s">
        <v>67</v>
      </c>
      <c r="S486" s="651"/>
    </row>
    <row r="487" spans="1:19">
      <c r="A487" s="649" t="s">
        <v>972</v>
      </c>
      <c r="B487" s="649" t="s">
        <v>2169</v>
      </c>
      <c r="C487" s="652">
        <v>6547.54</v>
      </c>
      <c r="D487" s="650">
        <v>6600</v>
      </c>
      <c r="E487" s="650">
        <v>716.6</v>
      </c>
      <c r="F487" s="649">
        <v>0</v>
      </c>
      <c r="G487" s="649">
        <v>52.46</v>
      </c>
      <c r="H487" s="649">
        <v>1</v>
      </c>
      <c r="I487" s="649" t="s">
        <v>1625</v>
      </c>
      <c r="J487" s="649"/>
      <c r="K487" s="649"/>
      <c r="L487" s="651" t="s">
        <v>2146</v>
      </c>
      <c r="M487" s="651"/>
      <c r="N487" s="651"/>
      <c r="O487" s="651"/>
      <c r="P487" s="651" t="s">
        <v>66</v>
      </c>
      <c r="Q487" s="651" t="s">
        <v>1074</v>
      </c>
      <c r="R487" s="651" t="s">
        <v>69</v>
      </c>
      <c r="S487" s="651"/>
    </row>
    <row r="488" spans="1:19">
      <c r="A488" s="649" t="s">
        <v>1465</v>
      </c>
      <c r="B488" s="649" t="s">
        <v>2169</v>
      </c>
      <c r="C488" s="652">
        <v>70314.44</v>
      </c>
      <c r="D488" s="650">
        <v>0</v>
      </c>
      <c r="E488" s="650">
        <v>0</v>
      </c>
      <c r="F488" s="649">
        <v>0</v>
      </c>
      <c r="G488" s="649">
        <v>0</v>
      </c>
      <c r="H488" s="649">
        <v>0</v>
      </c>
      <c r="I488" s="649" t="s">
        <v>1625</v>
      </c>
      <c r="J488" s="649"/>
      <c r="K488" s="649"/>
      <c r="L488" s="651" t="s">
        <v>2146</v>
      </c>
      <c r="M488" s="651"/>
      <c r="N488" s="651"/>
      <c r="O488" s="651" t="s">
        <v>2147</v>
      </c>
      <c r="P488" s="651" t="s">
        <v>176</v>
      </c>
      <c r="Q488" s="651" t="s">
        <v>3588</v>
      </c>
      <c r="R488" s="651"/>
      <c r="S488" s="651"/>
    </row>
    <row r="489" spans="1:19">
      <c r="A489" s="649" t="s">
        <v>973</v>
      </c>
      <c r="B489" s="649" t="s">
        <v>2169</v>
      </c>
      <c r="C489" s="652">
        <v>0</v>
      </c>
      <c r="D489" s="650">
        <v>0</v>
      </c>
      <c r="E489" s="650">
        <v>0</v>
      </c>
      <c r="F489" s="649">
        <v>0</v>
      </c>
      <c r="G489" s="649">
        <v>0</v>
      </c>
      <c r="H489" s="649">
        <v>0</v>
      </c>
      <c r="I489" s="649" t="s">
        <v>1625</v>
      </c>
      <c r="J489" s="649">
        <f>SUM(C457:C489)</f>
        <v>3294584.3499999992</v>
      </c>
      <c r="K489" s="649"/>
      <c r="L489" s="651" t="s">
        <v>2146</v>
      </c>
      <c r="M489" s="651"/>
      <c r="N489" s="651"/>
      <c r="O489" s="651" t="s">
        <v>2147</v>
      </c>
      <c r="P489" s="651" t="s">
        <v>3609</v>
      </c>
      <c r="Q489" s="651" t="s">
        <v>974</v>
      </c>
      <c r="R489" s="651" t="s">
        <v>1149</v>
      </c>
      <c r="S489" s="651"/>
    </row>
    <row r="490" spans="1:19">
      <c r="A490" s="649" t="s">
        <v>2865</v>
      </c>
      <c r="B490" s="649" t="s">
        <v>2170</v>
      </c>
      <c r="C490" s="652">
        <v>0</v>
      </c>
      <c r="D490" s="650">
        <v>0</v>
      </c>
      <c r="E490" s="650">
        <v>0</v>
      </c>
      <c r="F490" s="649">
        <v>0</v>
      </c>
      <c r="G490" s="649">
        <v>0</v>
      </c>
      <c r="H490" s="649">
        <v>0</v>
      </c>
      <c r="I490" s="649" t="s">
        <v>773</v>
      </c>
      <c r="J490" s="649"/>
      <c r="K490" s="649"/>
      <c r="L490" s="651"/>
      <c r="M490" s="651"/>
      <c r="N490" s="651"/>
      <c r="O490" s="651"/>
      <c r="P490" s="651" t="s">
        <v>3253</v>
      </c>
      <c r="Q490" s="651" t="s">
        <v>2866</v>
      </c>
      <c r="R490" s="651"/>
      <c r="S490" s="651"/>
    </row>
    <row r="491" spans="1:19">
      <c r="A491" s="649" t="s">
        <v>2867</v>
      </c>
      <c r="B491" s="649" t="s">
        <v>2170</v>
      </c>
      <c r="C491" s="652">
        <v>0</v>
      </c>
      <c r="D491" s="650">
        <v>0</v>
      </c>
      <c r="E491" s="650">
        <v>412.21</v>
      </c>
      <c r="F491" s="649">
        <v>0</v>
      </c>
      <c r="G491" s="649">
        <v>0</v>
      </c>
      <c r="H491" s="649">
        <v>0</v>
      </c>
      <c r="I491" s="649" t="s">
        <v>773</v>
      </c>
      <c r="J491" s="649"/>
      <c r="K491" s="649"/>
      <c r="L491" s="651"/>
      <c r="M491" s="651"/>
      <c r="N491" s="651"/>
      <c r="O491" s="651"/>
      <c r="P491" s="651" t="s">
        <v>769</v>
      </c>
      <c r="Q491" s="651" t="s">
        <v>689</v>
      </c>
      <c r="R491" s="651"/>
      <c r="S491" s="651"/>
    </row>
    <row r="492" spans="1:19">
      <c r="A492" s="649" t="s">
        <v>2868</v>
      </c>
      <c r="B492" s="649" t="s">
        <v>2170</v>
      </c>
      <c r="C492" s="652">
        <v>-4908</v>
      </c>
      <c r="D492" s="650">
        <v>-5784</v>
      </c>
      <c r="E492" s="650">
        <v>-342</v>
      </c>
      <c r="F492" s="649">
        <v>0</v>
      </c>
      <c r="G492" s="649">
        <v>-876</v>
      </c>
      <c r="H492" s="649">
        <v>15</v>
      </c>
      <c r="I492" s="649" t="s">
        <v>773</v>
      </c>
      <c r="J492" s="649"/>
      <c r="K492" s="649">
        <f>+C492</f>
        <v>-4908</v>
      </c>
      <c r="L492" s="651" t="s">
        <v>1681</v>
      </c>
      <c r="M492" s="651"/>
      <c r="N492" s="651"/>
      <c r="O492" s="651"/>
      <c r="P492" s="651" t="s">
        <v>1644</v>
      </c>
      <c r="Q492" s="651" t="s">
        <v>1074</v>
      </c>
      <c r="R492" s="651" t="s">
        <v>1885</v>
      </c>
      <c r="S492" s="651"/>
    </row>
    <row r="493" spans="1:19">
      <c r="A493" s="649" t="s">
        <v>975</v>
      </c>
      <c r="B493" s="649" t="s">
        <v>2170</v>
      </c>
      <c r="C493" s="652">
        <v>0</v>
      </c>
      <c r="D493" s="650">
        <v>0</v>
      </c>
      <c r="E493" s="650">
        <v>0</v>
      </c>
      <c r="F493" s="649">
        <v>0</v>
      </c>
      <c r="G493" s="649">
        <v>0</v>
      </c>
      <c r="H493" s="649">
        <v>0</v>
      </c>
      <c r="I493" s="649" t="s">
        <v>773</v>
      </c>
      <c r="J493" s="649"/>
      <c r="K493" s="649"/>
      <c r="L493" s="651"/>
      <c r="M493" s="651"/>
      <c r="N493" s="651"/>
      <c r="O493" s="651"/>
      <c r="P493" s="651" t="s">
        <v>852</v>
      </c>
      <c r="Q493" s="651" t="s">
        <v>976</v>
      </c>
      <c r="R493" s="651"/>
      <c r="S493" s="651"/>
    </row>
    <row r="494" spans="1:19">
      <c r="A494" s="649" t="s">
        <v>977</v>
      </c>
      <c r="B494" s="649" t="s">
        <v>2170</v>
      </c>
      <c r="C494" s="652">
        <v>0</v>
      </c>
      <c r="D494" s="650">
        <v>0</v>
      </c>
      <c r="E494" s="650">
        <v>0</v>
      </c>
      <c r="F494" s="649">
        <v>0</v>
      </c>
      <c r="G494" s="649">
        <v>0</v>
      </c>
      <c r="H494" s="649">
        <v>0</v>
      </c>
      <c r="I494" s="649" t="s">
        <v>773</v>
      </c>
      <c r="J494" s="649"/>
      <c r="K494" s="649"/>
      <c r="L494" s="651"/>
      <c r="M494" s="651"/>
      <c r="N494" s="651"/>
      <c r="O494" s="651"/>
      <c r="P494" s="651" t="s">
        <v>779</v>
      </c>
      <c r="Q494" s="651" t="s">
        <v>1074</v>
      </c>
      <c r="R494" s="651" t="s">
        <v>2372</v>
      </c>
      <c r="S494" s="651" t="s">
        <v>978</v>
      </c>
    </row>
    <row r="495" spans="1:19">
      <c r="A495" s="649" t="s">
        <v>2864</v>
      </c>
      <c r="B495" s="649" t="s">
        <v>2170</v>
      </c>
      <c r="C495" s="652">
        <v>0</v>
      </c>
      <c r="D495" s="650">
        <v>0</v>
      </c>
      <c r="E495" s="650">
        <v>0</v>
      </c>
      <c r="F495" s="649">
        <v>0</v>
      </c>
      <c r="G495" s="649">
        <v>0</v>
      </c>
      <c r="H495" s="649">
        <v>0</v>
      </c>
      <c r="I495" s="649" t="s">
        <v>773</v>
      </c>
      <c r="J495" s="649"/>
      <c r="K495" s="649"/>
      <c r="L495" s="651"/>
      <c r="M495" s="651"/>
      <c r="N495" s="651"/>
      <c r="O495" s="651"/>
      <c r="P495" s="651" t="s">
        <v>779</v>
      </c>
      <c r="Q495" s="651" t="s">
        <v>231</v>
      </c>
      <c r="R495" s="651" t="s">
        <v>384</v>
      </c>
      <c r="S495" s="651"/>
    </row>
    <row r="496" spans="1:19">
      <c r="A496" s="649" t="s">
        <v>2869</v>
      </c>
      <c r="B496" s="649" t="s">
        <v>2170</v>
      </c>
      <c r="C496" s="652">
        <v>100</v>
      </c>
      <c r="D496" s="650">
        <v>150</v>
      </c>
      <c r="E496" s="650">
        <v>0</v>
      </c>
      <c r="F496" s="649">
        <v>0</v>
      </c>
      <c r="G496" s="649">
        <v>50</v>
      </c>
      <c r="H496" s="649">
        <v>33</v>
      </c>
      <c r="I496" s="649" t="s">
        <v>1625</v>
      </c>
      <c r="J496" s="649"/>
      <c r="K496" s="649"/>
      <c r="L496" s="651" t="s">
        <v>2143</v>
      </c>
      <c r="M496" s="651"/>
      <c r="N496" s="651"/>
      <c r="O496" s="651"/>
      <c r="P496" s="651" t="s">
        <v>825</v>
      </c>
      <c r="Q496" s="651" t="s">
        <v>780</v>
      </c>
      <c r="R496" s="651" t="s">
        <v>826</v>
      </c>
      <c r="S496" s="651"/>
    </row>
    <row r="497" spans="1:19">
      <c r="A497" s="649" t="s">
        <v>2870</v>
      </c>
      <c r="B497" s="649" t="s">
        <v>2170</v>
      </c>
      <c r="C497" s="652">
        <v>205607.35</v>
      </c>
      <c r="D497" s="650">
        <v>207500</v>
      </c>
      <c r="E497" s="650">
        <v>180489.82</v>
      </c>
      <c r="F497" s="649">
        <v>0</v>
      </c>
      <c r="G497" s="649">
        <v>1892.65</v>
      </c>
      <c r="H497" s="649">
        <v>1</v>
      </c>
      <c r="I497" s="649" t="s">
        <v>1625</v>
      </c>
      <c r="J497" s="649"/>
      <c r="K497" s="649"/>
      <c r="L497" s="651" t="s">
        <v>2143</v>
      </c>
      <c r="M497" s="651"/>
      <c r="N497" s="651"/>
      <c r="O497" s="651"/>
      <c r="P497" s="651" t="s">
        <v>750</v>
      </c>
      <c r="Q497" s="651" t="s">
        <v>137</v>
      </c>
      <c r="R497" s="651" t="s">
        <v>1074</v>
      </c>
      <c r="S497" s="651" t="s">
        <v>278</v>
      </c>
    </row>
    <row r="498" spans="1:19">
      <c r="A498" s="649" t="s">
        <v>2871</v>
      </c>
      <c r="B498" s="649" t="s">
        <v>2170</v>
      </c>
      <c r="C498" s="652">
        <v>430304.54</v>
      </c>
      <c r="D498" s="650">
        <v>431590</v>
      </c>
      <c r="E498" s="650">
        <v>430304.54</v>
      </c>
      <c r="F498" s="649">
        <v>0</v>
      </c>
      <c r="G498" s="649">
        <v>1285.46</v>
      </c>
      <c r="H498" s="649">
        <v>0</v>
      </c>
      <c r="I498" s="649" t="s">
        <v>1625</v>
      </c>
      <c r="J498" s="649"/>
      <c r="K498" s="649"/>
      <c r="L498" s="651" t="s">
        <v>3447</v>
      </c>
      <c r="M498" s="651"/>
      <c r="N498" s="651"/>
      <c r="O498" s="651" t="s">
        <v>2144</v>
      </c>
      <c r="P498" s="651" t="s">
        <v>3241</v>
      </c>
      <c r="Q498" s="651" t="s">
        <v>828</v>
      </c>
      <c r="R498" s="651"/>
      <c r="S498" s="651"/>
    </row>
    <row r="499" spans="1:19" s="327" customFormat="1">
      <c r="A499" s="654" t="s">
        <v>2872</v>
      </c>
      <c r="B499" s="654" t="s">
        <v>2170</v>
      </c>
      <c r="C499" s="655">
        <v>0</v>
      </c>
      <c r="D499" s="656">
        <v>154000</v>
      </c>
      <c r="E499" s="656">
        <v>153111.31</v>
      </c>
      <c r="F499" s="654">
        <v>0</v>
      </c>
      <c r="G499" s="654">
        <v>888.69</v>
      </c>
      <c r="H499" s="654">
        <v>1</v>
      </c>
      <c r="I499" s="654" t="s">
        <v>1625</v>
      </c>
      <c r="J499" s="654"/>
      <c r="K499" s="654"/>
      <c r="L499" s="653" t="s">
        <v>3447</v>
      </c>
      <c r="M499" s="653"/>
      <c r="N499" s="653"/>
      <c r="O499" s="653" t="s">
        <v>2145</v>
      </c>
      <c r="P499" s="653" t="s">
        <v>3259</v>
      </c>
      <c r="Q499" s="653" t="s">
        <v>830</v>
      </c>
      <c r="R499" s="653"/>
      <c r="S499" s="653"/>
    </row>
    <row r="500" spans="1:19">
      <c r="A500" s="649" t="s">
        <v>395</v>
      </c>
      <c r="B500" s="649" t="s">
        <v>2170</v>
      </c>
      <c r="C500" s="652">
        <v>0</v>
      </c>
      <c r="D500" s="650">
        <v>0</v>
      </c>
      <c r="E500" s="650">
        <v>0</v>
      </c>
      <c r="F500" s="649">
        <v>0</v>
      </c>
      <c r="G500" s="649">
        <v>0</v>
      </c>
      <c r="H500" s="649">
        <v>0</v>
      </c>
      <c r="I500" s="649" t="s">
        <v>1625</v>
      </c>
      <c r="J500" s="649"/>
      <c r="K500" s="649"/>
      <c r="L500" s="651" t="s">
        <v>2146</v>
      </c>
      <c r="M500" s="651"/>
      <c r="N500" s="651"/>
      <c r="O500" s="651"/>
      <c r="P500" s="651" t="s">
        <v>825</v>
      </c>
      <c r="Q500" s="651" t="s">
        <v>780</v>
      </c>
      <c r="R500" s="651" t="s">
        <v>826</v>
      </c>
      <c r="S500" s="651"/>
    </row>
    <row r="501" spans="1:19">
      <c r="A501" s="649" t="s">
        <v>396</v>
      </c>
      <c r="B501" s="649" t="s">
        <v>2170</v>
      </c>
      <c r="C501" s="652">
        <v>0</v>
      </c>
      <c r="D501" s="650">
        <v>0</v>
      </c>
      <c r="E501" s="650">
        <v>0</v>
      </c>
      <c r="F501" s="649">
        <v>0</v>
      </c>
      <c r="G501" s="649">
        <v>0</v>
      </c>
      <c r="H501" s="649">
        <v>0</v>
      </c>
      <c r="I501" s="649" t="s">
        <v>1625</v>
      </c>
      <c r="J501" s="649"/>
      <c r="K501" s="649"/>
      <c r="L501" s="651" t="s">
        <v>2146</v>
      </c>
      <c r="M501" s="651"/>
      <c r="N501" s="651"/>
      <c r="O501" s="651"/>
      <c r="P501" s="651" t="s">
        <v>750</v>
      </c>
      <c r="Q501" s="651" t="s">
        <v>137</v>
      </c>
      <c r="R501" s="651" t="s">
        <v>1074</v>
      </c>
      <c r="S501" s="651" t="s">
        <v>278</v>
      </c>
    </row>
    <row r="502" spans="1:19">
      <c r="A502" s="649" t="s">
        <v>397</v>
      </c>
      <c r="B502" s="649" t="s">
        <v>2170</v>
      </c>
      <c r="C502" s="652">
        <v>34222.74</v>
      </c>
      <c r="D502" s="650">
        <v>35000</v>
      </c>
      <c r="E502" s="650">
        <v>3666.98</v>
      </c>
      <c r="F502" s="649">
        <v>0</v>
      </c>
      <c r="G502" s="649">
        <v>777.26</v>
      </c>
      <c r="H502" s="649">
        <v>2</v>
      </c>
      <c r="I502" s="649" t="s">
        <v>1625</v>
      </c>
      <c r="J502" s="649"/>
      <c r="K502" s="649"/>
      <c r="L502" s="651" t="s">
        <v>2146</v>
      </c>
      <c r="M502" s="651"/>
      <c r="N502" s="651"/>
      <c r="O502" s="651"/>
      <c r="P502" s="651" t="s">
        <v>856</v>
      </c>
      <c r="Q502" s="651" t="s">
        <v>857</v>
      </c>
      <c r="R502" s="651"/>
      <c r="S502" s="651"/>
    </row>
    <row r="503" spans="1:19">
      <c r="A503" s="649" t="s">
        <v>398</v>
      </c>
      <c r="B503" s="649" t="s">
        <v>2170</v>
      </c>
      <c r="C503" s="652">
        <v>49998.3</v>
      </c>
      <c r="D503" s="650">
        <v>50098</v>
      </c>
      <c r="E503" s="650">
        <v>0</v>
      </c>
      <c r="F503" s="649">
        <v>0</v>
      </c>
      <c r="G503" s="649">
        <v>99.7</v>
      </c>
      <c r="H503" s="649">
        <v>0</v>
      </c>
      <c r="I503" s="649" t="s">
        <v>1625</v>
      </c>
      <c r="J503" s="649"/>
      <c r="K503" s="649"/>
      <c r="L503" s="651" t="s">
        <v>2146</v>
      </c>
      <c r="M503" s="651"/>
      <c r="N503" s="651"/>
      <c r="O503" s="651"/>
      <c r="P503" s="651" t="s">
        <v>3248</v>
      </c>
      <c r="Q503" s="651"/>
      <c r="R503" s="651"/>
      <c r="S503" s="651"/>
    </row>
    <row r="504" spans="1:19">
      <c r="A504" s="649" t="s">
        <v>399</v>
      </c>
      <c r="B504" s="649" t="s">
        <v>2170</v>
      </c>
      <c r="C504" s="652">
        <v>0</v>
      </c>
      <c r="D504" s="650">
        <v>2456000</v>
      </c>
      <c r="E504" s="650">
        <v>1433299.5</v>
      </c>
      <c r="F504" s="649">
        <v>0</v>
      </c>
      <c r="G504" s="649">
        <v>588666.31999999995</v>
      </c>
      <c r="H504" s="649">
        <v>24</v>
      </c>
      <c r="I504" s="649" t="s">
        <v>1625</v>
      </c>
      <c r="J504" s="649"/>
      <c r="K504" s="649"/>
      <c r="L504" s="651" t="s">
        <v>2146</v>
      </c>
      <c r="M504" s="651"/>
      <c r="N504" s="651"/>
      <c r="O504" s="651" t="s">
        <v>2147</v>
      </c>
      <c r="P504" s="651" t="s">
        <v>76</v>
      </c>
      <c r="Q504" s="651" t="s">
        <v>400</v>
      </c>
      <c r="R504" s="651" t="s">
        <v>401</v>
      </c>
      <c r="S504" s="651"/>
    </row>
    <row r="505" spans="1:19">
      <c r="A505" s="649" t="s">
        <v>402</v>
      </c>
      <c r="B505" s="649" t="s">
        <v>2170</v>
      </c>
      <c r="C505" s="652">
        <v>0</v>
      </c>
      <c r="D505" s="650">
        <v>0</v>
      </c>
      <c r="E505" s="650">
        <v>0</v>
      </c>
      <c r="F505" s="649">
        <v>0</v>
      </c>
      <c r="G505" s="649">
        <v>0</v>
      </c>
      <c r="H505" s="649">
        <v>0</v>
      </c>
      <c r="I505" s="649" t="s">
        <v>1625</v>
      </c>
      <c r="J505" s="649"/>
      <c r="K505" s="649"/>
      <c r="L505" s="651" t="s">
        <v>2146</v>
      </c>
      <c r="M505" s="651"/>
      <c r="N505" s="651"/>
      <c r="O505" s="651" t="s">
        <v>2147</v>
      </c>
      <c r="P505" s="651" t="s">
        <v>363</v>
      </c>
      <c r="Q505" s="651" t="s">
        <v>218</v>
      </c>
      <c r="R505" s="651" t="s">
        <v>403</v>
      </c>
      <c r="S505" s="651"/>
    </row>
    <row r="506" spans="1:19">
      <c r="A506" s="649" t="s">
        <v>404</v>
      </c>
      <c r="B506" s="649" t="s">
        <v>2170</v>
      </c>
      <c r="C506" s="652">
        <v>0</v>
      </c>
      <c r="D506" s="650">
        <v>0</v>
      </c>
      <c r="E506" s="650">
        <v>0</v>
      </c>
      <c r="F506" s="649">
        <v>0</v>
      </c>
      <c r="G506" s="649">
        <v>0</v>
      </c>
      <c r="H506" s="649">
        <v>0</v>
      </c>
      <c r="I506" s="649" t="s">
        <v>1625</v>
      </c>
      <c r="J506" s="649"/>
      <c r="K506" s="649"/>
      <c r="L506" s="651" t="s">
        <v>2146</v>
      </c>
      <c r="M506" s="651"/>
      <c r="N506" s="651"/>
      <c r="O506" s="651" t="s">
        <v>2147</v>
      </c>
      <c r="P506" s="651" t="s">
        <v>405</v>
      </c>
      <c r="Q506" s="651" t="s">
        <v>406</v>
      </c>
      <c r="R506" s="651"/>
      <c r="S506" s="651"/>
    </row>
    <row r="507" spans="1:19">
      <c r="A507" s="649" t="s">
        <v>407</v>
      </c>
      <c r="B507" s="649" t="s">
        <v>2170</v>
      </c>
      <c r="C507" s="652">
        <v>0</v>
      </c>
      <c r="D507" s="650">
        <v>0</v>
      </c>
      <c r="E507" s="650">
        <v>0</v>
      </c>
      <c r="F507" s="649">
        <v>0</v>
      </c>
      <c r="G507" s="649">
        <v>0</v>
      </c>
      <c r="H507" s="649">
        <v>0</v>
      </c>
      <c r="I507" s="649" t="s">
        <v>1625</v>
      </c>
      <c r="J507" s="649"/>
      <c r="K507" s="649"/>
      <c r="L507" s="651" t="s">
        <v>2146</v>
      </c>
      <c r="M507" s="651"/>
      <c r="N507" s="651"/>
      <c r="O507" s="651" t="s">
        <v>2147</v>
      </c>
      <c r="P507" s="651" t="s">
        <v>408</v>
      </c>
      <c r="Q507" s="651" t="s">
        <v>409</v>
      </c>
      <c r="R507" s="651"/>
      <c r="S507" s="651"/>
    </row>
    <row r="508" spans="1:19">
      <c r="A508" s="649" t="s">
        <v>410</v>
      </c>
      <c r="B508" s="649" t="s">
        <v>2170</v>
      </c>
      <c r="C508" s="652">
        <v>0</v>
      </c>
      <c r="D508" s="650">
        <v>0</v>
      </c>
      <c r="E508" s="650">
        <v>0</v>
      </c>
      <c r="F508" s="649">
        <v>0</v>
      </c>
      <c r="G508" s="649">
        <v>0</v>
      </c>
      <c r="H508" s="649">
        <v>0</v>
      </c>
      <c r="I508" s="649" t="s">
        <v>1625</v>
      </c>
      <c r="J508" s="649"/>
      <c r="K508" s="649"/>
      <c r="L508" s="651" t="s">
        <v>2146</v>
      </c>
      <c r="M508" s="651"/>
      <c r="N508" s="651"/>
      <c r="O508" s="651" t="s">
        <v>2147</v>
      </c>
      <c r="P508" s="651" t="s">
        <v>3255</v>
      </c>
      <c r="Q508" s="651"/>
      <c r="R508" s="651"/>
      <c r="S508" s="651"/>
    </row>
    <row r="509" spans="1:19">
      <c r="A509" s="649" t="s">
        <v>411</v>
      </c>
      <c r="B509" s="649" t="s">
        <v>2170</v>
      </c>
      <c r="C509" s="652">
        <v>0</v>
      </c>
      <c r="D509" s="650">
        <v>0</v>
      </c>
      <c r="E509" s="650">
        <v>0</v>
      </c>
      <c r="F509" s="649">
        <v>0</v>
      </c>
      <c r="G509" s="649">
        <v>0</v>
      </c>
      <c r="H509" s="649">
        <v>0</v>
      </c>
      <c r="I509" s="649" t="s">
        <v>1625</v>
      </c>
      <c r="J509" s="649"/>
      <c r="K509" s="649"/>
      <c r="L509" s="651" t="s">
        <v>2146</v>
      </c>
      <c r="M509" s="651"/>
      <c r="N509" s="651"/>
      <c r="O509" s="651" t="s">
        <v>2147</v>
      </c>
      <c r="P509" s="651" t="s">
        <v>412</v>
      </c>
      <c r="Q509" s="651" t="s">
        <v>413</v>
      </c>
      <c r="R509" s="651"/>
      <c r="S509" s="651"/>
    </row>
    <row r="510" spans="1:19">
      <c r="A510" s="649" t="s">
        <v>414</v>
      </c>
      <c r="B510" s="649" t="s">
        <v>2170</v>
      </c>
      <c r="C510" s="652">
        <v>0</v>
      </c>
      <c r="D510" s="650">
        <v>0</v>
      </c>
      <c r="E510" s="650">
        <v>0</v>
      </c>
      <c r="F510" s="649">
        <v>0</v>
      </c>
      <c r="G510" s="649">
        <v>0</v>
      </c>
      <c r="H510" s="649">
        <v>0</v>
      </c>
      <c r="I510" s="649" t="s">
        <v>1625</v>
      </c>
      <c r="J510" s="649"/>
      <c r="K510" s="649"/>
      <c r="L510" s="651" t="s">
        <v>2146</v>
      </c>
      <c r="M510" s="651"/>
      <c r="N510" s="651"/>
      <c r="O510" s="651" t="s">
        <v>2147</v>
      </c>
      <c r="P510" s="651" t="s">
        <v>415</v>
      </c>
      <c r="Q510" s="651" t="s">
        <v>416</v>
      </c>
      <c r="R510" s="651"/>
      <c r="S510" s="651"/>
    </row>
    <row r="511" spans="1:19">
      <c r="A511" s="649" t="s">
        <v>417</v>
      </c>
      <c r="B511" s="649" t="s">
        <v>2170</v>
      </c>
      <c r="C511" s="652">
        <v>0</v>
      </c>
      <c r="D511" s="650">
        <v>0</v>
      </c>
      <c r="E511" s="650">
        <v>0</v>
      </c>
      <c r="F511" s="649">
        <v>0</v>
      </c>
      <c r="G511" s="649">
        <v>0</v>
      </c>
      <c r="H511" s="649">
        <v>0</v>
      </c>
      <c r="I511" s="649" t="s">
        <v>1625</v>
      </c>
      <c r="J511" s="649"/>
      <c r="K511" s="649"/>
      <c r="L511" s="651" t="s">
        <v>2146</v>
      </c>
      <c r="M511" s="651"/>
      <c r="N511" s="651"/>
      <c r="O511" s="651" t="s">
        <v>2147</v>
      </c>
      <c r="P511" s="651" t="s">
        <v>418</v>
      </c>
      <c r="Q511" s="651" t="s">
        <v>419</v>
      </c>
      <c r="R511" s="651" t="s">
        <v>420</v>
      </c>
      <c r="S511" s="651"/>
    </row>
    <row r="512" spans="1:19">
      <c r="A512" s="649" t="s">
        <v>421</v>
      </c>
      <c r="B512" s="649" t="s">
        <v>2170</v>
      </c>
      <c r="C512" s="652">
        <v>0</v>
      </c>
      <c r="D512" s="650">
        <v>0</v>
      </c>
      <c r="E512" s="650">
        <v>0</v>
      </c>
      <c r="F512" s="649">
        <v>0</v>
      </c>
      <c r="G512" s="649">
        <v>0</v>
      </c>
      <c r="H512" s="649">
        <v>0</v>
      </c>
      <c r="I512" s="649" t="s">
        <v>1625</v>
      </c>
      <c r="J512" s="649"/>
      <c r="K512" s="649"/>
      <c r="L512" s="651" t="s">
        <v>2146</v>
      </c>
      <c r="M512" s="651"/>
      <c r="N512" s="651"/>
      <c r="O512" s="651" t="s">
        <v>2147</v>
      </c>
      <c r="P512" s="651" t="s">
        <v>422</v>
      </c>
      <c r="Q512" s="651" t="s">
        <v>2338</v>
      </c>
      <c r="R512" s="651" t="s">
        <v>423</v>
      </c>
      <c r="S512" s="651"/>
    </row>
    <row r="513" spans="1:20">
      <c r="A513" s="649" t="s">
        <v>424</v>
      </c>
      <c r="B513" s="649" t="s">
        <v>2170</v>
      </c>
      <c r="C513" s="652">
        <v>0</v>
      </c>
      <c r="D513" s="650">
        <v>0</v>
      </c>
      <c r="E513" s="650">
        <v>0</v>
      </c>
      <c r="F513" s="649">
        <v>0</v>
      </c>
      <c r="G513" s="649">
        <v>0</v>
      </c>
      <c r="H513" s="649">
        <v>0</v>
      </c>
      <c r="I513" s="649" t="s">
        <v>1625</v>
      </c>
      <c r="J513" s="649"/>
      <c r="K513" s="649"/>
      <c r="L513" s="651" t="s">
        <v>2146</v>
      </c>
      <c r="M513" s="651"/>
      <c r="N513" s="651"/>
      <c r="O513" s="651" t="s">
        <v>2147</v>
      </c>
      <c r="P513" s="651" t="s">
        <v>425</v>
      </c>
      <c r="Q513" s="651" t="s">
        <v>2338</v>
      </c>
      <c r="R513" s="651" t="s">
        <v>400</v>
      </c>
      <c r="S513" s="651"/>
    </row>
    <row r="514" spans="1:20">
      <c r="A514" s="649" t="s">
        <v>426</v>
      </c>
      <c r="B514" s="649" t="s">
        <v>2170</v>
      </c>
      <c r="C514" s="658">
        <v>-0.4</v>
      </c>
      <c r="D514" s="650">
        <v>-1856000</v>
      </c>
      <c r="E514" s="650">
        <v>-1718095.93</v>
      </c>
      <c r="F514" s="649">
        <v>0</v>
      </c>
      <c r="G514" s="649">
        <v>-137904.07</v>
      </c>
      <c r="H514" s="649">
        <v>7</v>
      </c>
      <c r="I514" s="649" t="s">
        <v>773</v>
      </c>
      <c r="J514" s="649">
        <f>SUM(C496:C513)</f>
        <v>720232.93</v>
      </c>
      <c r="K514" s="649">
        <f>+C514</f>
        <v>-0.4</v>
      </c>
      <c r="L514" s="651" t="s">
        <v>563</v>
      </c>
      <c r="M514" s="651"/>
      <c r="N514" s="651"/>
      <c r="O514" s="651" t="s">
        <v>742</v>
      </c>
      <c r="P514" s="651" t="s">
        <v>76</v>
      </c>
      <c r="Q514" s="651" t="s">
        <v>427</v>
      </c>
      <c r="R514" s="651" t="s">
        <v>428</v>
      </c>
      <c r="S514" s="651"/>
    </row>
    <row r="515" spans="1:20">
      <c r="A515" s="649" t="s">
        <v>429</v>
      </c>
      <c r="B515" s="649" t="s">
        <v>2170</v>
      </c>
      <c r="C515" s="652">
        <v>0</v>
      </c>
      <c r="D515" s="650">
        <v>0</v>
      </c>
      <c r="E515" s="650">
        <v>0</v>
      </c>
      <c r="F515" s="649">
        <v>0</v>
      </c>
      <c r="G515" s="649">
        <v>0</v>
      </c>
      <c r="H515" s="649">
        <v>0</v>
      </c>
      <c r="I515" s="649" t="s">
        <v>1625</v>
      </c>
      <c r="J515" s="649"/>
      <c r="K515" s="649"/>
      <c r="L515" s="651" t="s">
        <v>2146</v>
      </c>
      <c r="M515" s="651"/>
      <c r="N515" s="651"/>
      <c r="O515" s="651" t="s">
        <v>2147</v>
      </c>
      <c r="P515" s="651" t="s">
        <v>828</v>
      </c>
      <c r="Q515" s="651" t="s">
        <v>430</v>
      </c>
      <c r="R515" s="651"/>
      <c r="S515" s="651"/>
    </row>
    <row r="516" spans="1:20">
      <c r="A516" s="649" t="s">
        <v>431</v>
      </c>
      <c r="B516" s="649" t="s">
        <v>1774</v>
      </c>
      <c r="C516" s="661">
        <v>-13128046.369999999</v>
      </c>
      <c r="D516" s="650">
        <v>-19448368</v>
      </c>
      <c r="E516" s="650">
        <v>3778514.3</v>
      </c>
      <c r="F516" s="649">
        <v>0</v>
      </c>
      <c r="G516" s="649">
        <v>-6320321.6299999999</v>
      </c>
      <c r="H516" s="649">
        <v>32</v>
      </c>
      <c r="I516" s="649" t="s">
        <v>773</v>
      </c>
      <c r="J516" s="649"/>
      <c r="K516" s="649"/>
      <c r="L516" s="651" t="s">
        <v>1774</v>
      </c>
      <c r="M516" s="651"/>
      <c r="N516" s="651"/>
      <c r="O516" s="651"/>
      <c r="P516" s="651" t="s">
        <v>1924</v>
      </c>
      <c r="Q516" s="651" t="s">
        <v>1074</v>
      </c>
      <c r="R516" s="651" t="s">
        <v>1609</v>
      </c>
      <c r="S516" s="651"/>
    </row>
    <row r="517" spans="1:20">
      <c r="A517" s="649" t="s">
        <v>432</v>
      </c>
      <c r="B517" s="649" t="s">
        <v>1774</v>
      </c>
      <c r="C517" s="661">
        <v>-190170.4</v>
      </c>
      <c r="D517" s="650">
        <v>-232290</v>
      </c>
      <c r="E517" s="650">
        <v>-2322.6799999999998</v>
      </c>
      <c r="F517" s="649">
        <v>0</v>
      </c>
      <c r="G517" s="649">
        <v>-42119.6</v>
      </c>
      <c r="H517" s="649">
        <v>18</v>
      </c>
      <c r="I517" s="649" t="s">
        <v>773</v>
      </c>
      <c r="J517" s="649"/>
      <c r="K517" s="649"/>
      <c r="L517" s="651" t="s">
        <v>1774</v>
      </c>
      <c r="M517" s="651"/>
      <c r="N517" s="651"/>
      <c r="O517" s="651"/>
      <c r="P517" s="651" t="s">
        <v>1924</v>
      </c>
      <c r="Q517" s="651" t="s">
        <v>1074</v>
      </c>
      <c r="R517" s="651" t="s">
        <v>433</v>
      </c>
      <c r="S517" s="651" t="s">
        <v>795</v>
      </c>
      <c r="T517" s="309" t="s">
        <v>434</v>
      </c>
    </row>
    <row r="518" spans="1:20">
      <c r="A518" s="649" t="s">
        <v>435</v>
      </c>
      <c r="B518" s="649" t="s">
        <v>1774</v>
      </c>
      <c r="C518" s="661">
        <v>-66984.02</v>
      </c>
      <c r="D518" s="650">
        <v>-22136</v>
      </c>
      <c r="E518" s="650">
        <v>-41487.480000000003</v>
      </c>
      <c r="F518" s="649">
        <v>0</v>
      </c>
      <c r="G518" s="649">
        <v>44848.02</v>
      </c>
      <c r="H518" s="649">
        <v>-203</v>
      </c>
      <c r="I518" s="649" t="s">
        <v>773</v>
      </c>
      <c r="J518" s="649"/>
      <c r="K518" s="649"/>
      <c r="L518" s="651" t="s">
        <v>1774</v>
      </c>
      <c r="M518" s="651"/>
      <c r="N518" s="651"/>
      <c r="O518" s="651"/>
      <c r="P518" s="651" t="s">
        <v>1924</v>
      </c>
      <c r="Q518" s="651" t="s">
        <v>1074</v>
      </c>
      <c r="R518" s="651" t="s">
        <v>433</v>
      </c>
      <c r="S518" s="651" t="s">
        <v>436</v>
      </c>
    </row>
    <row r="519" spans="1:20">
      <c r="A519" s="649" t="s">
        <v>437</v>
      </c>
      <c r="B519" s="649" t="s">
        <v>1774</v>
      </c>
      <c r="C519" s="661">
        <v>-7372369.5599999996</v>
      </c>
      <c r="D519" s="650">
        <v>-2476928</v>
      </c>
      <c r="E519" s="650">
        <v>-4482330.59</v>
      </c>
      <c r="F519" s="649">
        <v>0</v>
      </c>
      <c r="G519" s="649">
        <v>5190907.8499999996</v>
      </c>
      <c r="H519" s="649">
        <v>-210</v>
      </c>
      <c r="I519" s="649" t="s">
        <v>773</v>
      </c>
      <c r="J519" s="649"/>
      <c r="K519" s="649">
        <f>SUM(C516:C519)</f>
        <v>-20757570.349999998</v>
      </c>
      <c r="L519" s="651" t="s">
        <v>1774</v>
      </c>
      <c r="M519" s="651"/>
      <c r="N519" s="651"/>
      <c r="O519" s="651"/>
      <c r="P519" s="651" t="s">
        <v>1924</v>
      </c>
      <c r="Q519" s="651" t="s">
        <v>1074</v>
      </c>
      <c r="R519" s="651" t="s">
        <v>433</v>
      </c>
      <c r="S519" s="651" t="s">
        <v>438</v>
      </c>
    </row>
    <row r="520" spans="1:20">
      <c r="A520" s="649" t="s">
        <v>439</v>
      </c>
      <c r="B520" s="649" t="s">
        <v>1774</v>
      </c>
      <c r="C520" s="661">
        <v>0</v>
      </c>
      <c r="D520" s="650">
        <v>0</v>
      </c>
      <c r="E520" s="650">
        <v>0</v>
      </c>
      <c r="F520" s="649">
        <v>0</v>
      </c>
      <c r="G520" s="649">
        <v>0</v>
      </c>
      <c r="H520" s="649">
        <v>0</v>
      </c>
      <c r="I520" s="649" t="s">
        <v>773</v>
      </c>
      <c r="J520" s="649"/>
      <c r="K520" s="649"/>
      <c r="L520" s="651"/>
      <c r="M520" s="651"/>
      <c r="N520" s="651"/>
      <c r="O520" s="651"/>
      <c r="P520" s="651" t="s">
        <v>3441</v>
      </c>
      <c r="Q520" s="651" t="s">
        <v>1953</v>
      </c>
      <c r="R520" s="651"/>
      <c r="S520" s="651"/>
    </row>
    <row r="521" spans="1:20">
      <c r="A521" s="649" t="s">
        <v>440</v>
      </c>
      <c r="B521" s="649" t="s">
        <v>1774</v>
      </c>
      <c r="C521" s="661">
        <v>0</v>
      </c>
      <c r="D521" s="650">
        <v>0</v>
      </c>
      <c r="E521" s="650">
        <v>0</v>
      </c>
      <c r="F521" s="649">
        <v>0</v>
      </c>
      <c r="G521" s="649">
        <v>0</v>
      </c>
      <c r="H521" s="649">
        <v>0</v>
      </c>
      <c r="I521" s="649" t="s">
        <v>773</v>
      </c>
      <c r="J521" s="649"/>
      <c r="K521" s="649"/>
      <c r="L521" s="651"/>
      <c r="M521" s="651"/>
      <c r="N521" s="651"/>
      <c r="O521" s="651"/>
      <c r="P521" s="651" t="s">
        <v>441</v>
      </c>
      <c r="Q521" s="651" t="s">
        <v>442</v>
      </c>
      <c r="R521" s="651"/>
      <c r="S521" s="651"/>
    </row>
    <row r="522" spans="1:20">
      <c r="A522" s="649" t="s">
        <v>443</v>
      </c>
      <c r="B522" s="649" t="s">
        <v>1774</v>
      </c>
      <c r="C522" s="661">
        <v>0</v>
      </c>
      <c r="D522" s="650">
        <v>0</v>
      </c>
      <c r="E522" s="650">
        <v>15085.08</v>
      </c>
      <c r="F522" s="649">
        <v>0</v>
      </c>
      <c r="G522" s="649">
        <v>0</v>
      </c>
      <c r="H522" s="649">
        <v>0</v>
      </c>
      <c r="I522" s="649" t="s">
        <v>773</v>
      </c>
      <c r="J522" s="649"/>
      <c r="K522" s="649"/>
      <c r="L522" s="651"/>
      <c r="M522" s="651"/>
      <c r="N522" s="651"/>
      <c r="O522" s="651"/>
      <c r="P522" s="651" t="s">
        <v>769</v>
      </c>
      <c r="Q522" s="651" t="s">
        <v>689</v>
      </c>
      <c r="R522" s="651"/>
      <c r="S522" s="651"/>
    </row>
    <row r="523" spans="1:20">
      <c r="A523" s="649" t="s">
        <v>444</v>
      </c>
      <c r="B523" s="649" t="s">
        <v>1774</v>
      </c>
      <c r="C523" s="661">
        <v>832516.2</v>
      </c>
      <c r="D523" s="650">
        <v>1475000</v>
      </c>
      <c r="E523" s="650">
        <v>-507594.11</v>
      </c>
      <c r="F523" s="649">
        <v>0</v>
      </c>
      <c r="G523" s="649">
        <v>642483.80000000005</v>
      </c>
      <c r="H523" s="649">
        <v>44</v>
      </c>
      <c r="I523" s="649" t="s">
        <v>1625</v>
      </c>
      <c r="J523" s="649"/>
      <c r="K523" s="649"/>
      <c r="L523" s="651" t="s">
        <v>2140</v>
      </c>
      <c r="M523" s="651"/>
      <c r="N523" s="651"/>
      <c r="O523" s="651" t="s">
        <v>2180</v>
      </c>
      <c r="P523" s="651" t="s">
        <v>103</v>
      </c>
      <c r="Q523" s="651" t="s">
        <v>104</v>
      </c>
      <c r="R523" s="651" t="s">
        <v>1074</v>
      </c>
      <c r="S523" s="651" t="s">
        <v>105</v>
      </c>
    </row>
    <row r="524" spans="1:20">
      <c r="A524" s="649" t="s">
        <v>445</v>
      </c>
      <c r="B524" s="649" t="s">
        <v>1774</v>
      </c>
      <c r="C524" s="661">
        <v>507366.75</v>
      </c>
      <c r="D524" s="650">
        <v>508000</v>
      </c>
      <c r="E524" s="650">
        <v>75302.12</v>
      </c>
      <c r="F524" s="649">
        <v>0</v>
      </c>
      <c r="G524" s="649">
        <v>633.25</v>
      </c>
      <c r="H524" s="649">
        <v>0</v>
      </c>
      <c r="I524" s="649" t="s">
        <v>1625</v>
      </c>
      <c r="J524" s="649"/>
      <c r="K524" s="649"/>
      <c r="L524" s="651" t="s">
        <v>2140</v>
      </c>
      <c r="M524" s="651"/>
      <c r="N524" s="651"/>
      <c r="O524" s="651" t="s">
        <v>2180</v>
      </c>
      <c r="P524" s="651" t="s">
        <v>107</v>
      </c>
      <c r="Q524" s="651" t="s">
        <v>1074</v>
      </c>
      <c r="R524" s="651" t="s">
        <v>108</v>
      </c>
      <c r="S524" s="651"/>
    </row>
    <row r="525" spans="1:20">
      <c r="A525" s="649" t="s">
        <v>446</v>
      </c>
      <c r="B525" s="649" t="s">
        <v>1774</v>
      </c>
      <c r="C525" s="661">
        <v>124440.09</v>
      </c>
      <c r="D525" s="650">
        <v>125224</v>
      </c>
      <c r="E525" s="650">
        <v>7856.92</v>
      </c>
      <c r="F525" s="649">
        <v>0</v>
      </c>
      <c r="G525" s="649">
        <v>783.91</v>
      </c>
      <c r="H525" s="649">
        <v>1</v>
      </c>
      <c r="I525" s="649" t="s">
        <v>1625</v>
      </c>
      <c r="J525" s="649"/>
      <c r="K525" s="649"/>
      <c r="L525" s="651" t="s">
        <v>2140</v>
      </c>
      <c r="M525" s="651"/>
      <c r="N525" s="651"/>
      <c r="O525" s="651" t="s">
        <v>2180</v>
      </c>
      <c r="P525" s="651" t="s">
        <v>77</v>
      </c>
      <c r="Q525" s="651" t="s">
        <v>110</v>
      </c>
      <c r="R525" s="651" t="s">
        <v>1074</v>
      </c>
      <c r="S525" s="651" t="s">
        <v>111</v>
      </c>
    </row>
    <row r="526" spans="1:20">
      <c r="A526" s="649" t="s">
        <v>447</v>
      </c>
      <c r="B526" s="649" t="s">
        <v>1774</v>
      </c>
      <c r="C526" s="661">
        <v>119358.56</v>
      </c>
      <c r="D526" s="650">
        <v>120000</v>
      </c>
      <c r="E526" s="650">
        <v>12061.85</v>
      </c>
      <c r="F526" s="649">
        <v>0</v>
      </c>
      <c r="G526" s="649">
        <v>641.44000000000005</v>
      </c>
      <c r="H526" s="649">
        <v>1</v>
      </c>
      <c r="I526" s="649" t="s">
        <v>1625</v>
      </c>
      <c r="J526" s="649"/>
      <c r="K526" s="649"/>
      <c r="L526" s="651" t="s">
        <v>2140</v>
      </c>
      <c r="M526" s="651"/>
      <c r="N526" s="651"/>
      <c r="O526" s="651" t="s">
        <v>2180</v>
      </c>
      <c r="P526" s="651" t="s">
        <v>1959</v>
      </c>
      <c r="Q526" s="651" t="s">
        <v>805</v>
      </c>
      <c r="R526" s="651"/>
      <c r="S526" s="651"/>
    </row>
    <row r="527" spans="1:20">
      <c r="A527" s="649" t="s">
        <v>448</v>
      </c>
      <c r="B527" s="649" t="s">
        <v>1774</v>
      </c>
      <c r="C527" s="661">
        <v>1439.92</v>
      </c>
      <c r="D527" s="650">
        <v>1500</v>
      </c>
      <c r="E527" s="650">
        <v>0</v>
      </c>
      <c r="F527" s="649">
        <v>0</v>
      </c>
      <c r="G527" s="649">
        <v>60.08</v>
      </c>
      <c r="H527" s="649">
        <v>4</v>
      </c>
      <c r="I527" s="649" t="s">
        <v>1625</v>
      </c>
      <c r="J527" s="649"/>
      <c r="K527" s="649"/>
      <c r="L527" s="651" t="s">
        <v>2140</v>
      </c>
      <c r="M527" s="651"/>
      <c r="N527" s="651"/>
      <c r="O527" s="651" t="s">
        <v>2180</v>
      </c>
      <c r="P527" s="651" t="s">
        <v>713</v>
      </c>
      <c r="Q527" s="651" t="s">
        <v>3445</v>
      </c>
      <c r="R527" s="651" t="s">
        <v>1074</v>
      </c>
      <c r="S527" s="651"/>
    </row>
    <row r="528" spans="1:20">
      <c r="A528" s="649" t="s">
        <v>449</v>
      </c>
      <c r="B528" s="649" t="s">
        <v>1774</v>
      </c>
      <c r="C528" s="661">
        <v>0</v>
      </c>
      <c r="D528" s="650">
        <v>0</v>
      </c>
      <c r="E528" s="650">
        <v>0</v>
      </c>
      <c r="F528" s="649">
        <v>0</v>
      </c>
      <c r="G528" s="649">
        <v>0</v>
      </c>
      <c r="H528" s="649">
        <v>0</v>
      </c>
      <c r="I528" s="649" t="s">
        <v>1625</v>
      </c>
      <c r="J528" s="649"/>
      <c r="K528" s="649"/>
      <c r="L528" s="651" t="s">
        <v>2140</v>
      </c>
      <c r="M528" s="651"/>
      <c r="N528" s="651"/>
      <c r="O528" s="651" t="s">
        <v>2180</v>
      </c>
      <c r="P528" s="651" t="s">
        <v>915</v>
      </c>
      <c r="Q528" s="651" t="s">
        <v>114</v>
      </c>
      <c r="R528" s="651" t="s">
        <v>1074</v>
      </c>
      <c r="S528" s="651" t="s">
        <v>115</v>
      </c>
    </row>
    <row r="529" spans="1:19">
      <c r="A529" s="649" t="s">
        <v>450</v>
      </c>
      <c r="B529" s="649" t="s">
        <v>1774</v>
      </c>
      <c r="C529" s="661">
        <v>13908</v>
      </c>
      <c r="D529" s="650">
        <v>15000</v>
      </c>
      <c r="E529" s="650">
        <v>709</v>
      </c>
      <c r="F529" s="649">
        <v>0</v>
      </c>
      <c r="G529" s="649">
        <v>1092</v>
      </c>
      <c r="H529" s="649">
        <v>7</v>
      </c>
      <c r="I529" s="649" t="s">
        <v>1625</v>
      </c>
      <c r="J529" s="649"/>
      <c r="K529" s="649"/>
      <c r="L529" s="651" t="s">
        <v>2140</v>
      </c>
      <c r="M529" s="651"/>
      <c r="N529" s="651"/>
      <c r="O529" s="651" t="s">
        <v>1770</v>
      </c>
      <c r="P529" s="651" t="s">
        <v>1101</v>
      </c>
      <c r="Q529" s="651" t="s">
        <v>805</v>
      </c>
      <c r="R529" s="651"/>
      <c r="S529" s="651"/>
    </row>
    <row r="530" spans="1:19">
      <c r="A530" s="649" t="s">
        <v>451</v>
      </c>
      <c r="B530" s="649" t="s">
        <v>1774</v>
      </c>
      <c r="C530" s="661">
        <v>59929.68</v>
      </c>
      <c r="D530" s="650">
        <v>63000</v>
      </c>
      <c r="E530" s="650">
        <v>3753.6</v>
      </c>
      <c r="F530" s="649">
        <v>0</v>
      </c>
      <c r="G530" s="649">
        <v>3070.32</v>
      </c>
      <c r="H530" s="649">
        <v>5</v>
      </c>
      <c r="I530" s="649" t="s">
        <v>1625</v>
      </c>
      <c r="J530" s="649"/>
      <c r="K530" s="649"/>
      <c r="L530" s="651" t="s">
        <v>2140</v>
      </c>
      <c r="M530" s="651"/>
      <c r="N530" s="651"/>
      <c r="O530" s="651" t="s">
        <v>2178</v>
      </c>
      <c r="P530" s="651" t="s">
        <v>816</v>
      </c>
      <c r="Q530" s="651" t="s">
        <v>1074</v>
      </c>
      <c r="R530" s="651" t="s">
        <v>796</v>
      </c>
      <c r="S530" s="651" t="s">
        <v>797</v>
      </c>
    </row>
    <row r="531" spans="1:19">
      <c r="A531" s="649" t="s">
        <v>452</v>
      </c>
      <c r="B531" s="649" t="s">
        <v>1774</v>
      </c>
      <c r="C531" s="661">
        <v>310948.84999999998</v>
      </c>
      <c r="D531" s="650">
        <v>317000</v>
      </c>
      <c r="E531" s="650">
        <v>23674.93</v>
      </c>
      <c r="F531" s="649">
        <v>0</v>
      </c>
      <c r="G531" s="649">
        <v>6051.15</v>
      </c>
      <c r="H531" s="649">
        <v>2</v>
      </c>
      <c r="I531" s="649" t="s">
        <v>1625</v>
      </c>
      <c r="J531" s="649"/>
      <c r="K531" s="649"/>
      <c r="L531" s="651" t="s">
        <v>2140</v>
      </c>
      <c r="M531" s="651"/>
      <c r="N531" s="651"/>
      <c r="O531" s="651" t="s">
        <v>2181</v>
      </c>
      <c r="P531" s="651" t="s">
        <v>816</v>
      </c>
      <c r="Q531" s="651" t="s">
        <v>1074</v>
      </c>
      <c r="R531" s="651" t="s">
        <v>124</v>
      </c>
      <c r="S531" s="651" t="s">
        <v>125</v>
      </c>
    </row>
    <row r="532" spans="1:19">
      <c r="A532" s="649" t="s">
        <v>453</v>
      </c>
      <c r="B532" s="649" t="s">
        <v>1774</v>
      </c>
      <c r="C532" s="661">
        <v>18370.490000000002</v>
      </c>
      <c r="D532" s="650">
        <v>19000</v>
      </c>
      <c r="E532" s="650">
        <v>1532.92</v>
      </c>
      <c r="F532" s="649">
        <v>0</v>
      </c>
      <c r="G532" s="649">
        <v>629.51</v>
      </c>
      <c r="H532" s="649">
        <v>3</v>
      </c>
      <c r="I532" s="649" t="s">
        <v>1625</v>
      </c>
      <c r="J532" s="649"/>
      <c r="K532" s="649"/>
      <c r="L532" s="651" t="s">
        <v>2140</v>
      </c>
      <c r="M532" s="651"/>
      <c r="N532" s="651"/>
      <c r="O532" s="651" t="s">
        <v>1827</v>
      </c>
      <c r="P532" s="651" t="s">
        <v>816</v>
      </c>
      <c r="Q532" s="651" t="s">
        <v>1074</v>
      </c>
      <c r="R532" s="651" t="s">
        <v>793</v>
      </c>
      <c r="S532" s="651"/>
    </row>
    <row r="533" spans="1:19">
      <c r="A533" s="649" t="s">
        <v>454</v>
      </c>
      <c r="B533" s="649" t="s">
        <v>1774</v>
      </c>
      <c r="C533" s="661">
        <v>13188.6</v>
      </c>
      <c r="D533" s="650">
        <v>14000</v>
      </c>
      <c r="E533" s="650">
        <v>1099.05</v>
      </c>
      <c r="F533" s="649">
        <v>0</v>
      </c>
      <c r="G533" s="649">
        <v>811.4</v>
      </c>
      <c r="H533" s="649">
        <v>6</v>
      </c>
      <c r="I533" s="649" t="s">
        <v>1625</v>
      </c>
      <c r="J533" s="649"/>
      <c r="K533" s="649"/>
      <c r="L533" s="651" t="s">
        <v>2140</v>
      </c>
      <c r="M533" s="651"/>
      <c r="N533" s="651"/>
      <c r="O533" s="651" t="s">
        <v>2182</v>
      </c>
      <c r="P533" s="651" t="s">
        <v>816</v>
      </c>
      <c r="Q533" s="651" t="s">
        <v>1074</v>
      </c>
      <c r="R533" s="651" t="s">
        <v>128</v>
      </c>
      <c r="S533" s="651" t="s">
        <v>129</v>
      </c>
    </row>
    <row r="534" spans="1:19">
      <c r="A534" s="649" t="s">
        <v>455</v>
      </c>
      <c r="B534" s="649" t="s">
        <v>1774</v>
      </c>
      <c r="C534" s="661">
        <v>1027.2</v>
      </c>
      <c r="D534" s="650">
        <v>1100</v>
      </c>
      <c r="E534" s="650">
        <v>83.2</v>
      </c>
      <c r="F534" s="649">
        <v>0</v>
      </c>
      <c r="G534" s="649">
        <v>72.8</v>
      </c>
      <c r="H534" s="649">
        <v>7</v>
      </c>
      <c r="I534" s="649" t="s">
        <v>1625</v>
      </c>
      <c r="J534" s="649"/>
      <c r="K534" s="649"/>
      <c r="L534" s="651" t="s">
        <v>2140</v>
      </c>
      <c r="M534" s="651"/>
      <c r="N534" s="651"/>
      <c r="O534" s="651" t="s">
        <v>2180</v>
      </c>
      <c r="P534" s="651" t="s">
        <v>2486</v>
      </c>
      <c r="Q534" s="651" t="s">
        <v>1074</v>
      </c>
      <c r="R534" s="651" t="s">
        <v>802</v>
      </c>
      <c r="S534" s="651"/>
    </row>
    <row r="535" spans="1:19">
      <c r="A535" s="649" t="s">
        <v>456</v>
      </c>
      <c r="B535" s="649" t="s">
        <v>1774</v>
      </c>
      <c r="C535" s="661">
        <v>0</v>
      </c>
      <c r="D535" s="650">
        <v>82424</v>
      </c>
      <c r="E535" s="650">
        <v>0</v>
      </c>
      <c r="F535" s="649">
        <v>0</v>
      </c>
      <c r="G535" s="649">
        <v>82424</v>
      </c>
      <c r="H535" s="649">
        <v>100</v>
      </c>
      <c r="I535" s="649" t="s">
        <v>1625</v>
      </c>
      <c r="J535" s="649"/>
      <c r="K535" s="649"/>
      <c r="L535" s="651" t="s">
        <v>2142</v>
      </c>
      <c r="M535" s="651"/>
      <c r="N535" s="651"/>
      <c r="O535" s="651"/>
      <c r="P535" s="651" t="s">
        <v>819</v>
      </c>
      <c r="Q535" s="651" t="s">
        <v>132</v>
      </c>
      <c r="R535" s="651" t="s">
        <v>133</v>
      </c>
      <c r="S535" s="651"/>
    </row>
    <row r="536" spans="1:19">
      <c r="A536" s="649" t="s">
        <v>457</v>
      </c>
      <c r="B536" s="649" t="s">
        <v>1774</v>
      </c>
      <c r="C536" s="661">
        <v>5024.21</v>
      </c>
      <c r="D536" s="650">
        <v>6000</v>
      </c>
      <c r="E536" s="650">
        <v>0</v>
      </c>
      <c r="F536" s="649">
        <v>0</v>
      </c>
      <c r="G536" s="649">
        <v>975.79</v>
      </c>
      <c r="H536" s="649">
        <v>16</v>
      </c>
      <c r="I536" s="649" t="s">
        <v>1625</v>
      </c>
      <c r="J536" s="649"/>
      <c r="K536" s="649"/>
      <c r="L536" s="651" t="s">
        <v>2143</v>
      </c>
      <c r="M536" s="651"/>
      <c r="N536" s="651"/>
      <c r="O536" s="651"/>
      <c r="P536" s="651" t="s">
        <v>825</v>
      </c>
      <c r="Q536" s="651" t="s">
        <v>780</v>
      </c>
      <c r="R536" s="651" t="s">
        <v>826</v>
      </c>
      <c r="S536" s="651"/>
    </row>
    <row r="537" spans="1:19">
      <c r="A537" s="649" t="s">
        <v>458</v>
      </c>
      <c r="B537" s="649" t="s">
        <v>1774</v>
      </c>
      <c r="C537" s="661">
        <v>324648.15999999997</v>
      </c>
      <c r="D537" s="650">
        <v>326000</v>
      </c>
      <c r="E537" s="650">
        <v>107750.26</v>
      </c>
      <c r="F537" s="649">
        <v>0</v>
      </c>
      <c r="G537" s="649">
        <v>1351.84</v>
      </c>
      <c r="H537" s="649">
        <v>0</v>
      </c>
      <c r="I537" s="649" t="s">
        <v>1625</v>
      </c>
      <c r="J537" s="649"/>
      <c r="K537" s="649"/>
      <c r="L537" s="651" t="s">
        <v>2143</v>
      </c>
      <c r="M537" s="651"/>
      <c r="N537" s="651"/>
      <c r="O537" s="651"/>
      <c r="P537" s="651" t="s">
        <v>459</v>
      </c>
      <c r="Q537" s="651" t="s">
        <v>460</v>
      </c>
      <c r="R537" s="651"/>
      <c r="S537" s="651"/>
    </row>
    <row r="538" spans="1:19">
      <c r="A538" s="649" t="s">
        <v>461</v>
      </c>
      <c r="B538" s="649" t="s">
        <v>1774</v>
      </c>
      <c r="C538" s="661">
        <v>53.33</v>
      </c>
      <c r="D538" s="650">
        <v>1000</v>
      </c>
      <c r="E538" s="650">
        <v>39.9</v>
      </c>
      <c r="F538" s="649">
        <v>0</v>
      </c>
      <c r="G538" s="649">
        <v>946.67</v>
      </c>
      <c r="H538" s="649">
        <v>95</v>
      </c>
      <c r="I538" s="649" t="s">
        <v>1625</v>
      </c>
      <c r="J538" s="649"/>
      <c r="K538" s="649"/>
      <c r="L538" s="651" t="s">
        <v>2143</v>
      </c>
      <c r="M538" s="651"/>
      <c r="N538" s="651"/>
      <c r="O538" s="651"/>
      <c r="P538" s="651" t="s">
        <v>750</v>
      </c>
      <c r="Q538" s="651" t="s">
        <v>137</v>
      </c>
      <c r="R538" s="651" t="s">
        <v>1074</v>
      </c>
      <c r="S538" s="651" t="s">
        <v>278</v>
      </c>
    </row>
    <row r="539" spans="1:19">
      <c r="A539" s="649" t="s">
        <v>462</v>
      </c>
      <c r="B539" s="649" t="s">
        <v>1774</v>
      </c>
      <c r="C539" s="661">
        <v>36268.74</v>
      </c>
      <c r="D539" s="650">
        <v>39000</v>
      </c>
      <c r="E539" s="650">
        <v>6488.08</v>
      </c>
      <c r="F539" s="649">
        <v>0</v>
      </c>
      <c r="G539" s="649">
        <v>2731.26</v>
      </c>
      <c r="H539" s="649">
        <v>7</v>
      </c>
      <c r="I539" s="649" t="s">
        <v>1625</v>
      </c>
      <c r="J539" s="649"/>
      <c r="K539" s="649"/>
      <c r="L539" s="651" t="s">
        <v>2143</v>
      </c>
      <c r="M539" s="651"/>
      <c r="N539" s="651"/>
      <c r="O539" s="651"/>
      <c r="P539" s="651" t="s">
        <v>750</v>
      </c>
      <c r="Q539" s="651" t="s">
        <v>137</v>
      </c>
      <c r="R539" s="651" t="s">
        <v>1074</v>
      </c>
      <c r="S539" s="651" t="s">
        <v>1908</v>
      </c>
    </row>
    <row r="540" spans="1:19">
      <c r="A540" s="649" t="s">
        <v>463</v>
      </c>
      <c r="B540" s="649" t="s">
        <v>1774</v>
      </c>
      <c r="C540" s="661">
        <v>61535.58</v>
      </c>
      <c r="D540" s="650">
        <v>302765</v>
      </c>
      <c r="E540" s="650">
        <v>29090.19</v>
      </c>
      <c r="F540" s="649">
        <v>0</v>
      </c>
      <c r="G540" s="649">
        <v>241229.42</v>
      </c>
      <c r="H540" s="649">
        <v>80</v>
      </c>
      <c r="I540" s="649" t="s">
        <v>1625</v>
      </c>
      <c r="J540" s="649"/>
      <c r="K540" s="649"/>
      <c r="L540" s="651" t="s">
        <v>3447</v>
      </c>
      <c r="M540" s="651"/>
      <c r="N540" s="651"/>
      <c r="O540" s="651" t="s">
        <v>2144</v>
      </c>
      <c r="P540" s="651" t="s">
        <v>3241</v>
      </c>
      <c r="Q540" s="651" t="s">
        <v>828</v>
      </c>
      <c r="R540" s="651"/>
      <c r="S540" s="651"/>
    </row>
    <row r="541" spans="1:19" s="327" customFormat="1">
      <c r="A541" s="654" t="s">
        <v>464</v>
      </c>
      <c r="B541" s="654" t="s">
        <v>1774</v>
      </c>
      <c r="C541" s="662">
        <v>0</v>
      </c>
      <c r="D541" s="656">
        <v>463142</v>
      </c>
      <c r="E541" s="656">
        <v>41107.9</v>
      </c>
      <c r="F541" s="654">
        <v>0</v>
      </c>
      <c r="G541" s="654">
        <v>384281.39</v>
      </c>
      <c r="H541" s="654">
        <v>83</v>
      </c>
      <c r="I541" s="654" t="s">
        <v>1625</v>
      </c>
      <c r="J541" s="654"/>
      <c r="K541" s="654"/>
      <c r="L541" s="653" t="s">
        <v>3447</v>
      </c>
      <c r="M541" s="653"/>
      <c r="N541" s="653"/>
      <c r="O541" s="653" t="s">
        <v>2145</v>
      </c>
      <c r="P541" s="653" t="s">
        <v>3259</v>
      </c>
      <c r="Q541" s="653" t="s">
        <v>830</v>
      </c>
      <c r="R541" s="653"/>
      <c r="S541" s="653"/>
    </row>
    <row r="542" spans="1:19">
      <c r="A542" s="649" t="s">
        <v>465</v>
      </c>
      <c r="B542" s="649" t="s">
        <v>1774</v>
      </c>
      <c r="C542" s="661">
        <v>12752281.619999999</v>
      </c>
      <c r="D542" s="650">
        <v>12853519</v>
      </c>
      <c r="E542" s="650">
        <v>1978387.66</v>
      </c>
      <c r="F542" s="649">
        <v>0</v>
      </c>
      <c r="G542" s="649">
        <v>101237.38</v>
      </c>
      <c r="H542" s="649">
        <v>1</v>
      </c>
      <c r="I542" s="649" t="s">
        <v>1625</v>
      </c>
      <c r="J542" s="649"/>
      <c r="K542" s="649"/>
      <c r="L542" s="651" t="s">
        <v>18</v>
      </c>
      <c r="M542" s="651"/>
      <c r="N542" s="651"/>
      <c r="O542" s="651" t="s">
        <v>18</v>
      </c>
      <c r="P542" s="651" t="s">
        <v>466</v>
      </c>
      <c r="Q542" s="651" t="s">
        <v>467</v>
      </c>
      <c r="R542" s="651" t="s">
        <v>1074</v>
      </c>
      <c r="S542" s="651" t="s">
        <v>468</v>
      </c>
    </row>
    <row r="543" spans="1:19">
      <c r="A543" s="649" t="s">
        <v>469</v>
      </c>
      <c r="B543" s="649" t="s">
        <v>1774</v>
      </c>
      <c r="C543" s="661">
        <v>0</v>
      </c>
      <c r="D543" s="650">
        <v>0</v>
      </c>
      <c r="E543" s="650">
        <v>0</v>
      </c>
      <c r="F543" s="649">
        <v>0</v>
      </c>
      <c r="G543" s="649">
        <v>0</v>
      </c>
      <c r="H543" s="649">
        <v>0</v>
      </c>
      <c r="I543" s="649" t="s">
        <v>1625</v>
      </c>
      <c r="J543" s="649"/>
      <c r="K543" s="649"/>
      <c r="L543" s="651" t="s">
        <v>2146</v>
      </c>
      <c r="M543" s="651"/>
      <c r="N543" s="651"/>
      <c r="O543" s="651"/>
      <c r="P543" s="651" t="s">
        <v>849</v>
      </c>
      <c r="Q543" s="651" t="s">
        <v>780</v>
      </c>
      <c r="R543" s="651" t="s">
        <v>850</v>
      </c>
      <c r="S543" s="651"/>
    </row>
    <row r="544" spans="1:19">
      <c r="A544" s="649" t="s">
        <v>470</v>
      </c>
      <c r="B544" s="649" t="s">
        <v>1774</v>
      </c>
      <c r="C544" s="661">
        <v>2875.2</v>
      </c>
      <c r="D544" s="650">
        <v>2900</v>
      </c>
      <c r="E544" s="650">
        <v>1841.67</v>
      </c>
      <c r="F544" s="649">
        <v>0</v>
      </c>
      <c r="G544" s="649">
        <v>24.8</v>
      </c>
      <c r="H544" s="649">
        <v>1</v>
      </c>
      <c r="I544" s="649" t="s">
        <v>1625</v>
      </c>
      <c r="J544" s="649"/>
      <c r="K544" s="649"/>
      <c r="L544" s="651" t="s">
        <v>2146</v>
      </c>
      <c r="M544" s="651"/>
      <c r="N544" s="651"/>
      <c r="O544" s="651"/>
      <c r="P544" s="651" t="s">
        <v>856</v>
      </c>
      <c r="Q544" s="651" t="s">
        <v>857</v>
      </c>
      <c r="R544" s="651"/>
      <c r="S544" s="651"/>
    </row>
    <row r="545" spans="1:19">
      <c r="A545" s="649" t="s">
        <v>471</v>
      </c>
      <c r="B545" s="649" t="s">
        <v>1774</v>
      </c>
      <c r="C545" s="661">
        <v>79289.98</v>
      </c>
      <c r="D545" s="650">
        <v>80000</v>
      </c>
      <c r="E545" s="650">
        <v>57376.04</v>
      </c>
      <c r="F545" s="649">
        <v>0</v>
      </c>
      <c r="G545" s="649">
        <v>710.02</v>
      </c>
      <c r="H545" s="649">
        <v>1</v>
      </c>
      <c r="I545" s="649" t="s">
        <v>1625</v>
      </c>
      <c r="J545" s="649"/>
      <c r="K545" s="649"/>
      <c r="L545" s="651" t="s">
        <v>2146</v>
      </c>
      <c r="M545" s="651"/>
      <c r="N545" s="651"/>
      <c r="O545" s="651"/>
      <c r="P545" s="651" t="s">
        <v>865</v>
      </c>
      <c r="Q545" s="651" t="s">
        <v>1074</v>
      </c>
      <c r="R545" s="651" t="s">
        <v>3368</v>
      </c>
      <c r="S545" s="651"/>
    </row>
    <row r="546" spans="1:19">
      <c r="A546" s="649" t="s">
        <v>472</v>
      </c>
      <c r="B546" s="649" t="s">
        <v>1774</v>
      </c>
      <c r="C546" s="661">
        <v>24578.080000000002</v>
      </c>
      <c r="D546" s="650">
        <v>25000</v>
      </c>
      <c r="E546" s="650">
        <v>0</v>
      </c>
      <c r="F546" s="649">
        <v>0</v>
      </c>
      <c r="G546" s="649">
        <v>421.92</v>
      </c>
      <c r="H546" s="649">
        <v>2</v>
      </c>
      <c r="I546" s="649" t="s">
        <v>1625</v>
      </c>
      <c r="J546" s="649"/>
      <c r="K546" s="649"/>
      <c r="L546" s="651" t="s">
        <v>2146</v>
      </c>
      <c r="M546" s="651"/>
      <c r="N546" s="651"/>
      <c r="O546" s="651"/>
      <c r="P546" s="651" t="s">
        <v>3248</v>
      </c>
      <c r="Q546" s="651"/>
      <c r="R546" s="651"/>
      <c r="S546" s="651"/>
    </row>
    <row r="547" spans="1:19">
      <c r="A547" s="649" t="s">
        <v>473</v>
      </c>
      <c r="B547" s="649" t="s">
        <v>1774</v>
      </c>
      <c r="C547" s="661">
        <v>2726.69</v>
      </c>
      <c r="D547" s="650">
        <v>4000</v>
      </c>
      <c r="E547" s="650">
        <v>0</v>
      </c>
      <c r="F547" s="649">
        <v>0</v>
      </c>
      <c r="G547" s="649">
        <v>1273.31</v>
      </c>
      <c r="H547" s="649">
        <v>32</v>
      </c>
      <c r="I547" s="649" t="s">
        <v>1625</v>
      </c>
      <c r="J547" s="649"/>
      <c r="K547" s="649"/>
      <c r="L547" s="651" t="s">
        <v>2146</v>
      </c>
      <c r="M547" s="651"/>
      <c r="N547" s="651"/>
      <c r="O547" s="651"/>
      <c r="P547" s="651" t="s">
        <v>867</v>
      </c>
      <c r="Q547" s="651" t="s">
        <v>780</v>
      </c>
      <c r="R547" s="651" t="s">
        <v>868</v>
      </c>
      <c r="S547" s="651"/>
    </row>
    <row r="548" spans="1:19">
      <c r="A548" s="649" t="s">
        <v>474</v>
      </c>
      <c r="B548" s="649" t="s">
        <v>1774</v>
      </c>
      <c r="C548" s="661">
        <v>972.7</v>
      </c>
      <c r="D548" s="650">
        <v>1300</v>
      </c>
      <c r="E548" s="650">
        <v>0</v>
      </c>
      <c r="F548" s="649">
        <v>0</v>
      </c>
      <c r="G548" s="649">
        <v>327.3</v>
      </c>
      <c r="H548" s="649">
        <v>25</v>
      </c>
      <c r="I548" s="649" t="s">
        <v>1625</v>
      </c>
      <c r="J548" s="649"/>
      <c r="K548" s="649"/>
      <c r="L548" s="651" t="s">
        <v>2146</v>
      </c>
      <c r="M548" s="651"/>
      <c r="N548" s="651"/>
      <c r="O548" s="651"/>
      <c r="P548" s="651" t="s">
        <v>881</v>
      </c>
      <c r="Q548" s="651" t="s">
        <v>780</v>
      </c>
      <c r="R548" s="651" t="s">
        <v>882</v>
      </c>
      <c r="S548" s="651"/>
    </row>
    <row r="549" spans="1:19">
      <c r="A549" s="649" t="s">
        <v>475</v>
      </c>
      <c r="B549" s="649" t="s">
        <v>1774</v>
      </c>
      <c r="C549" s="661">
        <v>61581</v>
      </c>
      <c r="D549" s="650">
        <v>82000</v>
      </c>
      <c r="E549" s="650">
        <v>0</v>
      </c>
      <c r="F549" s="649">
        <v>0</v>
      </c>
      <c r="G549" s="649">
        <v>20419</v>
      </c>
      <c r="H549" s="649">
        <v>25</v>
      </c>
      <c r="I549" s="649" t="s">
        <v>1625</v>
      </c>
      <c r="J549" s="649"/>
      <c r="K549" s="649"/>
      <c r="L549" s="651" t="s">
        <v>2146</v>
      </c>
      <c r="M549" s="651"/>
      <c r="N549" s="651"/>
      <c r="O549" s="651"/>
      <c r="P549" s="651" t="s">
        <v>333</v>
      </c>
      <c r="Q549" s="651" t="s">
        <v>334</v>
      </c>
      <c r="R549" s="651"/>
      <c r="S549" s="651"/>
    </row>
    <row r="550" spans="1:19">
      <c r="A550" s="649" t="s">
        <v>476</v>
      </c>
      <c r="B550" s="649" t="s">
        <v>1774</v>
      </c>
      <c r="C550" s="661">
        <v>10577.36</v>
      </c>
      <c r="D550" s="650">
        <v>13000</v>
      </c>
      <c r="E550" s="650">
        <v>942.85</v>
      </c>
      <c r="F550" s="649">
        <v>0</v>
      </c>
      <c r="G550" s="649">
        <v>2422.64</v>
      </c>
      <c r="H550" s="649">
        <v>19</v>
      </c>
      <c r="I550" s="649" t="s">
        <v>1625</v>
      </c>
      <c r="J550" s="649"/>
      <c r="K550" s="649"/>
      <c r="L550" s="651" t="s">
        <v>2146</v>
      </c>
      <c r="M550" s="651"/>
      <c r="N550" s="651"/>
      <c r="O550" s="651"/>
      <c r="P550" s="651" t="s">
        <v>63</v>
      </c>
      <c r="Q550" s="651" t="s">
        <v>780</v>
      </c>
      <c r="R550" s="651" t="s">
        <v>64</v>
      </c>
      <c r="S550" s="651"/>
    </row>
    <row r="551" spans="1:19">
      <c r="A551" s="649" t="s">
        <v>477</v>
      </c>
      <c r="B551" s="649" t="s">
        <v>1774</v>
      </c>
      <c r="C551" s="661">
        <v>0</v>
      </c>
      <c r="D551" s="650">
        <v>0</v>
      </c>
      <c r="E551" s="650">
        <v>0</v>
      </c>
      <c r="F551" s="649">
        <v>0</v>
      </c>
      <c r="G551" s="649">
        <v>0</v>
      </c>
      <c r="H551" s="649">
        <v>0</v>
      </c>
      <c r="I551" s="649" t="s">
        <v>1625</v>
      </c>
      <c r="J551" s="649"/>
      <c r="K551" s="649"/>
      <c r="L551" s="651" t="s">
        <v>2146</v>
      </c>
      <c r="M551" s="651"/>
      <c r="N551" s="651"/>
      <c r="O551" s="651"/>
      <c r="P551" s="651" t="s">
        <v>66</v>
      </c>
      <c r="Q551" s="651" t="s">
        <v>1074</v>
      </c>
      <c r="R551" s="651" t="s">
        <v>67</v>
      </c>
      <c r="S551" s="651"/>
    </row>
    <row r="552" spans="1:19">
      <c r="A552" s="649" t="s">
        <v>478</v>
      </c>
      <c r="B552" s="649" t="s">
        <v>1774</v>
      </c>
      <c r="C552" s="661">
        <v>45253.09</v>
      </c>
      <c r="D552" s="650">
        <v>45300</v>
      </c>
      <c r="E552" s="650">
        <v>2068.8000000000002</v>
      </c>
      <c r="F552" s="649">
        <v>0</v>
      </c>
      <c r="G552" s="649">
        <v>46.91</v>
      </c>
      <c r="H552" s="649">
        <v>0</v>
      </c>
      <c r="I552" s="649" t="s">
        <v>1625</v>
      </c>
      <c r="J552" s="649"/>
      <c r="K552" s="649"/>
      <c r="L552" s="651" t="s">
        <v>2146</v>
      </c>
      <c r="M552" s="651"/>
      <c r="N552" s="651"/>
      <c r="O552" s="651"/>
      <c r="P552" s="651" t="s">
        <v>66</v>
      </c>
      <c r="Q552" s="651" t="s">
        <v>1074</v>
      </c>
      <c r="R552" s="651" t="s">
        <v>69</v>
      </c>
      <c r="S552" s="651"/>
    </row>
    <row r="553" spans="1:19">
      <c r="A553" s="649" t="s">
        <v>479</v>
      </c>
      <c r="B553" s="649" t="s">
        <v>1774</v>
      </c>
      <c r="C553" s="661">
        <v>0</v>
      </c>
      <c r="D553" s="650">
        <v>0</v>
      </c>
      <c r="E553" s="650">
        <v>0</v>
      </c>
      <c r="F553" s="649">
        <v>0</v>
      </c>
      <c r="G553" s="649">
        <v>0</v>
      </c>
      <c r="H553" s="649">
        <v>0</v>
      </c>
      <c r="I553" s="649" t="s">
        <v>1625</v>
      </c>
      <c r="J553" s="649"/>
      <c r="K553" s="649"/>
      <c r="L553" s="651" t="s">
        <v>2146</v>
      </c>
      <c r="M553" s="651"/>
      <c r="N553" s="651"/>
      <c r="O553" s="651" t="s">
        <v>2147</v>
      </c>
      <c r="P553" s="651" t="s">
        <v>2862</v>
      </c>
      <c r="Q553" s="651"/>
      <c r="R553" s="651"/>
      <c r="S553" s="651"/>
    </row>
    <row r="554" spans="1:19">
      <c r="A554" s="649" t="s">
        <v>480</v>
      </c>
      <c r="B554" s="649" t="s">
        <v>1774</v>
      </c>
      <c r="C554" s="661">
        <v>0</v>
      </c>
      <c r="D554" s="650">
        <v>0</v>
      </c>
      <c r="E554" s="650">
        <v>0</v>
      </c>
      <c r="F554" s="649">
        <v>0</v>
      </c>
      <c r="G554" s="649">
        <v>0</v>
      </c>
      <c r="H554" s="649">
        <v>0</v>
      </c>
      <c r="I554" s="649" t="s">
        <v>1625</v>
      </c>
      <c r="J554" s="649"/>
      <c r="K554" s="649"/>
      <c r="L554" s="651" t="s">
        <v>2146</v>
      </c>
      <c r="M554" s="651"/>
      <c r="N554" s="651"/>
      <c r="O554" s="651" t="s">
        <v>2147</v>
      </c>
      <c r="P554" s="651" t="s">
        <v>3256</v>
      </c>
      <c r="Q554" s="651"/>
      <c r="R554" s="651"/>
      <c r="S554" s="651"/>
    </row>
    <row r="555" spans="1:19">
      <c r="A555" s="649" t="s">
        <v>481</v>
      </c>
      <c r="B555" s="649" t="s">
        <v>1774</v>
      </c>
      <c r="C555" s="661">
        <v>0</v>
      </c>
      <c r="D555" s="650">
        <v>0</v>
      </c>
      <c r="E555" s="650">
        <v>0</v>
      </c>
      <c r="F555" s="649">
        <v>0</v>
      </c>
      <c r="G555" s="649">
        <v>0</v>
      </c>
      <c r="H555" s="649">
        <v>0</v>
      </c>
      <c r="I555" s="649" t="s">
        <v>1625</v>
      </c>
      <c r="J555" s="649"/>
      <c r="K555" s="649"/>
      <c r="L555" s="651" t="s">
        <v>2146</v>
      </c>
      <c r="M555" s="651"/>
      <c r="N555" s="651"/>
      <c r="O555" s="651" t="s">
        <v>2147</v>
      </c>
      <c r="P555" s="651" t="s">
        <v>441</v>
      </c>
      <c r="Q555" s="651" t="s">
        <v>482</v>
      </c>
      <c r="R555" s="651"/>
      <c r="S555" s="651"/>
    </row>
    <row r="556" spans="1:19">
      <c r="A556" s="649" t="s">
        <v>483</v>
      </c>
      <c r="B556" s="649" t="s">
        <v>1774</v>
      </c>
      <c r="C556" s="661">
        <v>0</v>
      </c>
      <c r="D556" s="650">
        <v>0</v>
      </c>
      <c r="E556" s="650">
        <v>0</v>
      </c>
      <c r="F556" s="649">
        <v>0</v>
      </c>
      <c r="G556" s="649">
        <v>0</v>
      </c>
      <c r="H556" s="649">
        <v>0</v>
      </c>
      <c r="I556" s="649" t="s">
        <v>1625</v>
      </c>
      <c r="J556" s="649"/>
      <c r="K556" s="649"/>
      <c r="L556" s="651" t="s">
        <v>2146</v>
      </c>
      <c r="M556" s="651"/>
      <c r="N556" s="651"/>
      <c r="O556" s="651" t="s">
        <v>2147</v>
      </c>
      <c r="P556" s="651" t="s">
        <v>484</v>
      </c>
      <c r="Q556" s="651" t="s">
        <v>2338</v>
      </c>
      <c r="R556" s="651" t="s">
        <v>485</v>
      </c>
      <c r="S556" s="651"/>
    </row>
    <row r="557" spans="1:19">
      <c r="A557" s="649" t="s">
        <v>486</v>
      </c>
      <c r="B557" s="649" t="s">
        <v>1774</v>
      </c>
      <c r="C557" s="661">
        <v>0</v>
      </c>
      <c r="D557" s="650">
        <v>0</v>
      </c>
      <c r="E557" s="650">
        <v>0</v>
      </c>
      <c r="F557" s="649">
        <v>0</v>
      </c>
      <c r="G557" s="649">
        <v>0</v>
      </c>
      <c r="H557" s="649">
        <v>0</v>
      </c>
      <c r="I557" s="649" t="s">
        <v>1625</v>
      </c>
      <c r="J557" s="649">
        <f>SUM(C520:C557)</f>
        <v>15410160.079999998</v>
      </c>
      <c r="K557" s="649"/>
      <c r="L557" s="651" t="s">
        <v>2146</v>
      </c>
      <c r="M557" s="651"/>
      <c r="N557" s="651"/>
      <c r="O557" s="651" t="s">
        <v>2147</v>
      </c>
      <c r="P557" s="651" t="s">
        <v>441</v>
      </c>
      <c r="Q557" s="651" t="s">
        <v>2338</v>
      </c>
      <c r="R557" s="651"/>
      <c r="S557" s="651"/>
    </row>
    <row r="558" spans="1:19">
      <c r="A558" s="649" t="s">
        <v>487</v>
      </c>
      <c r="B558" s="649" t="s">
        <v>2171</v>
      </c>
      <c r="C558" s="661">
        <v>0</v>
      </c>
      <c r="D558" s="650">
        <v>1000</v>
      </c>
      <c r="E558" s="650">
        <v>0</v>
      </c>
      <c r="F558" s="649">
        <v>0</v>
      </c>
      <c r="G558" s="649">
        <v>1000</v>
      </c>
      <c r="H558" s="649">
        <v>100</v>
      </c>
      <c r="I558" s="649" t="s">
        <v>1625</v>
      </c>
      <c r="J558" s="649"/>
      <c r="K558" s="649"/>
      <c r="L558" s="651" t="s">
        <v>2143</v>
      </c>
      <c r="M558" s="651"/>
      <c r="N558" s="651"/>
      <c r="O558" s="651"/>
      <c r="P558" s="651" t="s">
        <v>825</v>
      </c>
      <c r="Q558" s="651" t="s">
        <v>780</v>
      </c>
      <c r="R558" s="651" t="s">
        <v>826</v>
      </c>
      <c r="S558" s="651"/>
    </row>
    <row r="559" spans="1:19">
      <c r="A559" s="649" t="s">
        <v>488</v>
      </c>
      <c r="B559" s="649" t="s">
        <v>2171</v>
      </c>
      <c r="C559" s="652">
        <v>5688</v>
      </c>
      <c r="D559" s="650">
        <v>7000</v>
      </c>
      <c r="E559" s="650">
        <v>0</v>
      </c>
      <c r="F559" s="649">
        <v>0</v>
      </c>
      <c r="G559" s="649">
        <v>1312</v>
      </c>
      <c r="H559" s="649">
        <v>19</v>
      </c>
      <c r="I559" s="649" t="s">
        <v>1625</v>
      </c>
      <c r="J559" s="649"/>
      <c r="K559" s="649"/>
      <c r="L559" s="651" t="s">
        <v>2143</v>
      </c>
      <c r="M559" s="651"/>
      <c r="N559" s="651"/>
      <c r="O559" s="651"/>
      <c r="P559" s="651" t="s">
        <v>3257</v>
      </c>
      <c r="Q559" s="651"/>
      <c r="R559" s="651"/>
      <c r="S559" s="651"/>
    </row>
    <row r="560" spans="1:19">
      <c r="A560" s="649" t="s">
        <v>489</v>
      </c>
      <c r="B560" s="649" t="s">
        <v>2171</v>
      </c>
      <c r="C560" s="652">
        <v>0</v>
      </c>
      <c r="D560" s="650">
        <v>295250</v>
      </c>
      <c r="E560" s="650">
        <v>0</v>
      </c>
      <c r="F560" s="649">
        <v>0</v>
      </c>
      <c r="G560" s="649">
        <v>295250</v>
      </c>
      <c r="H560" s="649">
        <v>100</v>
      </c>
      <c r="I560" s="649" t="s">
        <v>1625</v>
      </c>
      <c r="J560" s="649"/>
      <c r="K560" s="649"/>
      <c r="L560" s="651" t="s">
        <v>18</v>
      </c>
      <c r="M560" s="651"/>
      <c r="N560" s="651"/>
      <c r="O560" s="651" t="s">
        <v>18</v>
      </c>
      <c r="P560" s="651" t="s">
        <v>466</v>
      </c>
      <c r="Q560" s="651" t="s">
        <v>467</v>
      </c>
      <c r="R560" s="651" t="s">
        <v>1074</v>
      </c>
      <c r="S560" s="651" t="s">
        <v>468</v>
      </c>
    </row>
    <row r="561" spans="1:19">
      <c r="A561" s="649" t="s">
        <v>490</v>
      </c>
      <c r="B561" s="649" t="s">
        <v>2171</v>
      </c>
      <c r="C561" s="652">
        <v>0</v>
      </c>
      <c r="D561" s="650">
        <v>1000</v>
      </c>
      <c r="E561" s="650">
        <v>0</v>
      </c>
      <c r="F561" s="649">
        <v>0</v>
      </c>
      <c r="G561" s="649">
        <v>1000</v>
      </c>
      <c r="H561" s="649">
        <v>100</v>
      </c>
      <c r="I561" s="649" t="s">
        <v>1625</v>
      </c>
      <c r="J561" s="649"/>
      <c r="K561" s="649"/>
      <c r="L561" s="651" t="s">
        <v>2146</v>
      </c>
      <c r="M561" s="651"/>
      <c r="N561" s="651"/>
      <c r="O561" s="651"/>
      <c r="P561" s="651" t="s">
        <v>865</v>
      </c>
      <c r="Q561" s="651" t="s">
        <v>1074</v>
      </c>
      <c r="R561" s="651" t="s">
        <v>3368</v>
      </c>
      <c r="S561" s="651"/>
    </row>
    <row r="562" spans="1:19">
      <c r="A562" s="649" t="s">
        <v>491</v>
      </c>
      <c r="B562" s="649" t="s">
        <v>2171</v>
      </c>
      <c r="C562" s="652">
        <v>4176.6499999999996</v>
      </c>
      <c r="D562" s="650">
        <v>4177</v>
      </c>
      <c r="E562" s="650">
        <v>0</v>
      </c>
      <c r="F562" s="649">
        <v>0</v>
      </c>
      <c r="G562" s="649">
        <v>0.35</v>
      </c>
      <c r="H562" s="649">
        <v>0</v>
      </c>
      <c r="I562" s="649" t="s">
        <v>1625</v>
      </c>
      <c r="J562" s="649"/>
      <c r="K562" s="649"/>
      <c r="L562" s="651" t="s">
        <v>2146</v>
      </c>
      <c r="M562" s="651"/>
      <c r="N562" s="651"/>
      <c r="O562" s="651"/>
      <c r="P562" s="651" t="s">
        <v>3248</v>
      </c>
      <c r="Q562" s="651"/>
      <c r="R562" s="651"/>
      <c r="S562" s="651"/>
    </row>
    <row r="563" spans="1:19">
      <c r="A563" s="649" t="s">
        <v>492</v>
      </c>
      <c r="B563" s="649" t="s">
        <v>2171</v>
      </c>
      <c r="C563" s="652">
        <v>0</v>
      </c>
      <c r="D563" s="650">
        <v>0</v>
      </c>
      <c r="E563" s="650">
        <v>0</v>
      </c>
      <c r="F563" s="649">
        <v>0</v>
      </c>
      <c r="G563" s="649">
        <v>0</v>
      </c>
      <c r="H563" s="649">
        <v>0</v>
      </c>
      <c r="I563" s="649" t="s">
        <v>1625</v>
      </c>
      <c r="J563" s="649"/>
      <c r="K563" s="649"/>
      <c r="L563" s="651" t="s">
        <v>2146</v>
      </c>
      <c r="M563" s="651"/>
      <c r="N563" s="651"/>
      <c r="O563" s="651"/>
      <c r="P563" s="651" t="s">
        <v>881</v>
      </c>
      <c r="Q563" s="651" t="s">
        <v>780</v>
      </c>
      <c r="R563" s="651" t="s">
        <v>882</v>
      </c>
      <c r="S563" s="651"/>
    </row>
    <row r="564" spans="1:19">
      <c r="A564" s="649" t="s">
        <v>493</v>
      </c>
      <c r="B564" s="649" t="s">
        <v>2171</v>
      </c>
      <c r="C564" s="652">
        <v>0</v>
      </c>
      <c r="D564" s="650">
        <v>0</v>
      </c>
      <c r="E564" s="650">
        <v>0</v>
      </c>
      <c r="F564" s="649">
        <v>0</v>
      </c>
      <c r="G564" s="649">
        <v>0</v>
      </c>
      <c r="H564" s="649">
        <v>0</v>
      </c>
      <c r="I564" s="649" t="s">
        <v>1625</v>
      </c>
      <c r="J564" s="649">
        <f>SUM(C558:C564)</f>
        <v>9864.65</v>
      </c>
      <c r="K564" s="649"/>
      <c r="L564" s="651" t="s">
        <v>2146</v>
      </c>
      <c r="M564" s="651"/>
      <c r="N564" s="651"/>
      <c r="O564" s="651"/>
      <c r="P564" s="651" t="s">
        <v>333</v>
      </c>
      <c r="Q564" s="651" t="s">
        <v>334</v>
      </c>
      <c r="R564" s="651"/>
      <c r="S564" s="651"/>
    </row>
    <row r="565" spans="1:19">
      <c r="A565" s="649" t="s">
        <v>494</v>
      </c>
      <c r="B565" s="649" t="s">
        <v>2172</v>
      </c>
      <c r="C565" s="652">
        <v>0</v>
      </c>
      <c r="D565" s="650">
        <v>0</v>
      </c>
      <c r="E565" s="650">
        <v>5.67</v>
      </c>
      <c r="F565" s="649">
        <v>0</v>
      </c>
      <c r="G565" s="649">
        <v>0</v>
      </c>
      <c r="H565" s="649">
        <v>0</v>
      </c>
      <c r="I565" s="649" t="s">
        <v>773</v>
      </c>
      <c r="J565" s="649"/>
      <c r="K565" s="649"/>
      <c r="L565" s="651"/>
      <c r="M565" s="651"/>
      <c r="N565" s="651"/>
      <c r="O565" s="651"/>
      <c r="P565" s="651" t="s">
        <v>769</v>
      </c>
      <c r="Q565" s="651" t="s">
        <v>689</v>
      </c>
      <c r="R565" s="651"/>
      <c r="S565" s="651"/>
    </row>
    <row r="566" spans="1:19">
      <c r="A566" s="649" t="s">
        <v>495</v>
      </c>
      <c r="B566" s="649" t="s">
        <v>2172</v>
      </c>
      <c r="C566" s="652">
        <v>0</v>
      </c>
      <c r="D566" s="650">
        <v>42094</v>
      </c>
      <c r="E566" s="650">
        <v>0</v>
      </c>
      <c r="F566" s="649">
        <v>0</v>
      </c>
      <c r="G566" s="649">
        <v>42094</v>
      </c>
      <c r="H566" s="649">
        <v>100</v>
      </c>
      <c r="I566" s="649" t="s">
        <v>1625</v>
      </c>
      <c r="J566" s="649"/>
      <c r="K566" s="649"/>
      <c r="L566" s="651" t="s">
        <v>2142</v>
      </c>
      <c r="M566" s="651"/>
      <c r="N566" s="651"/>
      <c r="O566" s="651"/>
      <c r="P566" s="651" t="s">
        <v>819</v>
      </c>
      <c r="Q566" s="651" t="s">
        <v>132</v>
      </c>
      <c r="R566" s="651" t="s">
        <v>133</v>
      </c>
      <c r="S566" s="651"/>
    </row>
    <row r="567" spans="1:19">
      <c r="A567" s="649" t="s">
        <v>496</v>
      </c>
      <c r="B567" s="649" t="s">
        <v>2172</v>
      </c>
      <c r="C567" s="652">
        <v>1682.76</v>
      </c>
      <c r="D567" s="650">
        <v>2000</v>
      </c>
      <c r="E567" s="650">
        <v>428.13</v>
      </c>
      <c r="F567" s="649">
        <v>0</v>
      </c>
      <c r="G567" s="649">
        <v>317.24</v>
      </c>
      <c r="H567" s="649">
        <v>16</v>
      </c>
      <c r="I567" s="649" t="s">
        <v>1625</v>
      </c>
      <c r="J567" s="649"/>
      <c r="K567" s="649"/>
      <c r="L567" s="651" t="s">
        <v>2143</v>
      </c>
      <c r="M567" s="651"/>
      <c r="N567" s="651"/>
      <c r="O567" s="651"/>
      <c r="P567" s="651" t="s">
        <v>750</v>
      </c>
      <c r="Q567" s="651" t="s">
        <v>137</v>
      </c>
      <c r="R567" s="651" t="s">
        <v>1074</v>
      </c>
      <c r="S567" s="651" t="s">
        <v>278</v>
      </c>
    </row>
    <row r="568" spans="1:19">
      <c r="A568" s="649" t="s">
        <v>497</v>
      </c>
      <c r="B568" s="649" t="s">
        <v>2172</v>
      </c>
      <c r="C568" s="652">
        <v>5985</v>
      </c>
      <c r="D568" s="650">
        <v>8000</v>
      </c>
      <c r="E568" s="650">
        <v>0</v>
      </c>
      <c r="F568" s="649">
        <v>0</v>
      </c>
      <c r="G568" s="649">
        <v>2015</v>
      </c>
      <c r="H568" s="649">
        <v>25</v>
      </c>
      <c r="I568" s="649" t="s">
        <v>1625</v>
      </c>
      <c r="J568" s="649"/>
      <c r="K568" s="649"/>
      <c r="L568" s="651" t="s">
        <v>2146</v>
      </c>
      <c r="M568" s="651"/>
      <c r="N568" s="651"/>
      <c r="O568" s="651"/>
      <c r="P568" s="651" t="s">
        <v>856</v>
      </c>
      <c r="Q568" s="651" t="s">
        <v>857</v>
      </c>
      <c r="R568" s="651"/>
      <c r="S568" s="651"/>
    </row>
    <row r="569" spans="1:19">
      <c r="A569" s="649" t="s">
        <v>498</v>
      </c>
      <c r="B569" s="649" t="s">
        <v>2172</v>
      </c>
      <c r="C569" s="652">
        <v>3597.3</v>
      </c>
      <c r="D569" s="650">
        <v>3697</v>
      </c>
      <c r="E569" s="650">
        <v>0</v>
      </c>
      <c r="F569" s="649">
        <v>0</v>
      </c>
      <c r="G569" s="649">
        <v>99.7</v>
      </c>
      <c r="H569" s="649">
        <v>3</v>
      </c>
      <c r="I569" s="649" t="s">
        <v>1625</v>
      </c>
      <c r="J569" s="649"/>
      <c r="K569" s="649"/>
      <c r="L569" s="651" t="s">
        <v>2146</v>
      </c>
      <c r="M569" s="651"/>
      <c r="N569" s="651"/>
      <c r="O569" s="651"/>
      <c r="P569" s="651" t="s">
        <v>3248</v>
      </c>
      <c r="Q569" s="651"/>
      <c r="R569" s="651"/>
      <c r="S569" s="651"/>
    </row>
    <row r="570" spans="1:19">
      <c r="A570" s="649" t="s">
        <v>499</v>
      </c>
      <c r="B570" s="649" t="s">
        <v>2172</v>
      </c>
      <c r="C570" s="652">
        <v>0</v>
      </c>
      <c r="D570" s="650">
        <v>0</v>
      </c>
      <c r="E570" s="650">
        <v>0</v>
      </c>
      <c r="F570" s="649">
        <v>0</v>
      </c>
      <c r="G570" s="649">
        <v>0</v>
      </c>
      <c r="H570" s="649">
        <v>0</v>
      </c>
      <c r="I570" s="649" t="s">
        <v>1625</v>
      </c>
      <c r="J570" s="649"/>
      <c r="K570" s="649"/>
      <c r="L570" s="651" t="s">
        <v>2146</v>
      </c>
      <c r="M570" s="651"/>
      <c r="N570" s="651"/>
      <c r="O570" s="651"/>
      <c r="P570" s="651" t="s">
        <v>881</v>
      </c>
      <c r="Q570" s="651" t="s">
        <v>780</v>
      </c>
      <c r="R570" s="651" t="s">
        <v>882</v>
      </c>
      <c r="S570" s="651"/>
    </row>
    <row r="571" spans="1:19">
      <c r="A571" s="649" t="s">
        <v>500</v>
      </c>
      <c r="B571" s="649" t="s">
        <v>2172</v>
      </c>
      <c r="C571" s="652">
        <v>0</v>
      </c>
      <c r="D571" s="650">
        <v>0</v>
      </c>
      <c r="E571" s="650">
        <v>0</v>
      </c>
      <c r="F571" s="649">
        <v>0</v>
      </c>
      <c r="G571" s="649">
        <v>0</v>
      </c>
      <c r="H571" s="649">
        <v>0</v>
      </c>
      <c r="I571" s="649" t="s">
        <v>1625</v>
      </c>
      <c r="J571" s="649">
        <f>SUM(C566:C571)</f>
        <v>11265.060000000001</v>
      </c>
      <c r="K571" s="649"/>
      <c r="L571" s="651" t="s">
        <v>2146</v>
      </c>
      <c r="M571" s="651"/>
      <c r="N571" s="651"/>
      <c r="O571" s="651"/>
      <c r="P571" s="651" t="s">
        <v>333</v>
      </c>
      <c r="Q571" s="651" t="s">
        <v>334</v>
      </c>
      <c r="R571" s="651"/>
      <c r="S571" s="651"/>
    </row>
    <row r="572" spans="1:19">
      <c r="A572" s="649" t="s">
        <v>501</v>
      </c>
      <c r="B572" s="649" t="s">
        <v>614</v>
      </c>
      <c r="C572" s="652">
        <v>0</v>
      </c>
      <c r="D572" s="650">
        <v>0</v>
      </c>
      <c r="E572" s="650">
        <v>0</v>
      </c>
      <c r="F572" s="649">
        <v>0</v>
      </c>
      <c r="G572" s="649">
        <v>0</v>
      </c>
      <c r="H572" s="649">
        <v>0</v>
      </c>
      <c r="I572" s="649" t="s">
        <v>773</v>
      </c>
      <c r="J572" s="649"/>
      <c r="K572" s="649"/>
      <c r="L572" s="651"/>
      <c r="M572" s="651"/>
      <c r="N572" s="651"/>
      <c r="O572" s="651"/>
      <c r="P572" s="651" t="s">
        <v>769</v>
      </c>
      <c r="Q572" s="651" t="s">
        <v>689</v>
      </c>
      <c r="R572" s="651"/>
      <c r="S572" s="651"/>
    </row>
    <row r="573" spans="1:19">
      <c r="A573" s="649" t="s">
        <v>502</v>
      </c>
      <c r="B573" s="649" t="s">
        <v>614</v>
      </c>
      <c r="C573" s="652">
        <v>0</v>
      </c>
      <c r="D573" s="650">
        <v>70000</v>
      </c>
      <c r="E573" s="650">
        <v>0</v>
      </c>
      <c r="F573" s="649">
        <v>0</v>
      </c>
      <c r="G573" s="649">
        <v>70000</v>
      </c>
      <c r="H573" s="649">
        <v>100</v>
      </c>
      <c r="I573" s="649" t="s">
        <v>1625</v>
      </c>
      <c r="J573" s="649"/>
      <c r="K573" s="649"/>
      <c r="L573" s="651" t="s">
        <v>2140</v>
      </c>
      <c r="M573" s="651"/>
      <c r="N573" s="651"/>
      <c r="O573" s="651" t="s">
        <v>2180</v>
      </c>
      <c r="P573" s="651" t="s">
        <v>103</v>
      </c>
      <c r="Q573" s="651" t="s">
        <v>104</v>
      </c>
      <c r="R573" s="651" t="s">
        <v>1074</v>
      </c>
      <c r="S573" s="651" t="s">
        <v>105</v>
      </c>
    </row>
    <row r="574" spans="1:19">
      <c r="A574" s="649" t="s">
        <v>503</v>
      </c>
      <c r="B574" s="649" t="s">
        <v>614</v>
      </c>
      <c r="C574" s="652">
        <v>0</v>
      </c>
      <c r="D574" s="650">
        <v>5700</v>
      </c>
      <c r="E574" s="650">
        <v>0</v>
      </c>
      <c r="F574" s="649">
        <v>0</v>
      </c>
      <c r="G574" s="649">
        <v>5700</v>
      </c>
      <c r="H574" s="649">
        <v>100</v>
      </c>
      <c r="I574" s="649" t="s">
        <v>1625</v>
      </c>
      <c r="J574" s="649"/>
      <c r="K574" s="649"/>
      <c r="L574" s="651" t="s">
        <v>2140</v>
      </c>
      <c r="M574" s="651"/>
      <c r="N574" s="651"/>
      <c r="O574" s="651" t="s">
        <v>2180</v>
      </c>
      <c r="P574" s="651" t="s">
        <v>77</v>
      </c>
      <c r="Q574" s="651" t="s">
        <v>110</v>
      </c>
      <c r="R574" s="651" t="s">
        <v>1074</v>
      </c>
      <c r="S574" s="651" t="s">
        <v>111</v>
      </c>
    </row>
    <row r="575" spans="1:19">
      <c r="A575" s="649" t="s">
        <v>504</v>
      </c>
      <c r="B575" s="649" t="s">
        <v>614</v>
      </c>
      <c r="C575" s="652">
        <v>0</v>
      </c>
      <c r="D575" s="650">
        <v>15000</v>
      </c>
      <c r="E575" s="650">
        <v>0</v>
      </c>
      <c r="F575" s="649">
        <v>0</v>
      </c>
      <c r="G575" s="649">
        <v>15000</v>
      </c>
      <c r="H575" s="649">
        <v>100</v>
      </c>
      <c r="I575" s="649" t="s">
        <v>1625</v>
      </c>
      <c r="J575" s="649"/>
      <c r="K575" s="649"/>
      <c r="L575" s="651" t="s">
        <v>2140</v>
      </c>
      <c r="M575" s="651"/>
      <c r="N575" s="651"/>
      <c r="O575" s="651" t="s">
        <v>2178</v>
      </c>
      <c r="P575" s="651" t="s">
        <v>792</v>
      </c>
      <c r="Q575" s="651" t="s">
        <v>1074</v>
      </c>
      <c r="R575" s="651" t="s">
        <v>239</v>
      </c>
      <c r="S575" s="651"/>
    </row>
    <row r="576" spans="1:19">
      <c r="A576" s="649" t="s">
        <v>505</v>
      </c>
      <c r="B576" s="649" t="s">
        <v>614</v>
      </c>
      <c r="C576" s="652">
        <v>0</v>
      </c>
      <c r="D576" s="650">
        <v>15000</v>
      </c>
      <c r="E576" s="650">
        <v>0</v>
      </c>
      <c r="F576" s="649">
        <v>0</v>
      </c>
      <c r="G576" s="649">
        <v>15000</v>
      </c>
      <c r="H576" s="649">
        <v>100</v>
      </c>
      <c r="I576" s="649" t="s">
        <v>1625</v>
      </c>
      <c r="J576" s="649"/>
      <c r="K576" s="649"/>
      <c r="L576" s="651" t="s">
        <v>2140</v>
      </c>
      <c r="M576" s="651"/>
      <c r="N576" s="651"/>
      <c r="O576" s="651" t="s">
        <v>2181</v>
      </c>
      <c r="P576" s="651" t="s">
        <v>792</v>
      </c>
      <c r="Q576" s="651" t="s">
        <v>1074</v>
      </c>
      <c r="R576" s="651" t="s">
        <v>165</v>
      </c>
      <c r="S576" s="651"/>
    </row>
    <row r="577" spans="1:19">
      <c r="A577" s="649" t="s">
        <v>506</v>
      </c>
      <c r="B577" s="649" t="s">
        <v>614</v>
      </c>
      <c r="C577" s="652">
        <v>0</v>
      </c>
      <c r="D577" s="650">
        <v>700</v>
      </c>
      <c r="E577" s="650">
        <v>0</v>
      </c>
      <c r="F577" s="649">
        <v>0</v>
      </c>
      <c r="G577" s="649">
        <v>700</v>
      </c>
      <c r="H577" s="649">
        <v>100</v>
      </c>
      <c r="I577" s="649" t="s">
        <v>1625</v>
      </c>
      <c r="J577" s="649"/>
      <c r="K577" s="649"/>
      <c r="L577" s="651" t="s">
        <v>2140</v>
      </c>
      <c r="M577" s="651"/>
      <c r="N577" s="651"/>
      <c r="O577" s="651" t="s">
        <v>1827</v>
      </c>
      <c r="P577" s="651" t="s">
        <v>792</v>
      </c>
      <c r="Q577" s="651" t="s">
        <v>1074</v>
      </c>
      <c r="R577" s="651" t="s">
        <v>793</v>
      </c>
      <c r="S577" s="651"/>
    </row>
    <row r="578" spans="1:19">
      <c r="A578" s="649" t="s">
        <v>507</v>
      </c>
      <c r="B578" s="649" t="s">
        <v>614</v>
      </c>
      <c r="C578" s="652">
        <v>0</v>
      </c>
      <c r="D578" s="650">
        <v>1400</v>
      </c>
      <c r="E578" s="650">
        <v>0</v>
      </c>
      <c r="F578" s="649">
        <v>0</v>
      </c>
      <c r="G578" s="649">
        <v>1400</v>
      </c>
      <c r="H578" s="649">
        <v>100</v>
      </c>
      <c r="I578" s="649" t="s">
        <v>1625</v>
      </c>
      <c r="J578" s="649"/>
      <c r="K578" s="649"/>
      <c r="L578" s="651" t="s">
        <v>2140</v>
      </c>
      <c r="M578" s="651"/>
      <c r="N578" s="651"/>
      <c r="O578" s="651" t="s">
        <v>2182</v>
      </c>
      <c r="P578" s="651" t="s">
        <v>792</v>
      </c>
      <c r="Q578" s="651" t="s">
        <v>1074</v>
      </c>
      <c r="R578" s="651" t="s">
        <v>394</v>
      </c>
      <c r="S578" s="651"/>
    </row>
    <row r="579" spans="1:19">
      <c r="A579" s="649" t="s">
        <v>508</v>
      </c>
      <c r="B579" s="649" t="s">
        <v>614</v>
      </c>
      <c r="C579" s="652">
        <v>0</v>
      </c>
      <c r="D579" s="650">
        <v>22</v>
      </c>
      <c r="E579" s="650">
        <v>0</v>
      </c>
      <c r="F579" s="649">
        <v>0</v>
      </c>
      <c r="G579" s="649">
        <v>22</v>
      </c>
      <c r="H579" s="649">
        <v>100</v>
      </c>
      <c r="I579" s="649" t="s">
        <v>1625</v>
      </c>
      <c r="J579" s="649"/>
      <c r="K579" s="649"/>
      <c r="L579" s="651" t="s">
        <v>2140</v>
      </c>
      <c r="M579" s="651"/>
      <c r="N579" s="651"/>
      <c r="O579" s="651" t="s">
        <v>2180</v>
      </c>
      <c r="P579" s="651" t="s">
        <v>2486</v>
      </c>
      <c r="Q579" s="651" t="s">
        <v>1074</v>
      </c>
      <c r="R579" s="651" t="s">
        <v>802</v>
      </c>
      <c r="S579" s="651"/>
    </row>
    <row r="580" spans="1:19">
      <c r="A580" s="649" t="s">
        <v>509</v>
      </c>
      <c r="B580" s="649" t="s">
        <v>614</v>
      </c>
      <c r="C580" s="652">
        <v>0</v>
      </c>
      <c r="D580" s="650">
        <v>0</v>
      </c>
      <c r="E580" s="650">
        <v>0</v>
      </c>
      <c r="F580" s="649">
        <v>0</v>
      </c>
      <c r="G580" s="649">
        <v>0</v>
      </c>
      <c r="H580" s="649">
        <v>0</v>
      </c>
      <c r="I580" s="649" t="s">
        <v>1625</v>
      </c>
      <c r="J580" s="649"/>
      <c r="K580" s="649"/>
      <c r="L580" s="651" t="s">
        <v>2146</v>
      </c>
      <c r="M580" s="651"/>
      <c r="N580" s="651"/>
      <c r="O580" s="651"/>
      <c r="P580" s="651" t="s">
        <v>846</v>
      </c>
      <c r="Q580" s="651" t="s">
        <v>1074</v>
      </c>
      <c r="R580" s="651" t="s">
        <v>847</v>
      </c>
      <c r="S580" s="651"/>
    </row>
    <row r="581" spans="1:19">
      <c r="A581" s="649" t="s">
        <v>510</v>
      </c>
      <c r="B581" s="649" t="s">
        <v>614</v>
      </c>
      <c r="C581" s="652">
        <v>23694.11</v>
      </c>
      <c r="D581" s="650">
        <v>24000</v>
      </c>
      <c r="E581" s="650">
        <v>3023.36</v>
      </c>
      <c r="F581" s="649">
        <v>0</v>
      </c>
      <c r="G581" s="649">
        <v>305.89</v>
      </c>
      <c r="H581" s="649">
        <v>1</v>
      </c>
      <c r="I581" s="649" t="s">
        <v>1625</v>
      </c>
      <c r="J581" s="649"/>
      <c r="K581" s="649"/>
      <c r="L581" s="651" t="s">
        <v>2146</v>
      </c>
      <c r="M581" s="651"/>
      <c r="N581" s="651"/>
      <c r="O581" s="651"/>
      <c r="P581" s="651" t="s">
        <v>63</v>
      </c>
      <c r="Q581" s="651" t="s">
        <v>780</v>
      </c>
      <c r="R581" s="651" t="s">
        <v>64</v>
      </c>
      <c r="S581" s="651"/>
    </row>
    <row r="582" spans="1:19">
      <c r="A582" s="649" t="s">
        <v>511</v>
      </c>
      <c r="B582" s="649" t="s">
        <v>614</v>
      </c>
      <c r="C582" s="652">
        <v>0</v>
      </c>
      <c r="D582" s="650">
        <v>5000</v>
      </c>
      <c r="E582" s="650">
        <v>0</v>
      </c>
      <c r="F582" s="649">
        <v>0</v>
      </c>
      <c r="G582" s="649">
        <v>5000</v>
      </c>
      <c r="H582" s="649">
        <v>100</v>
      </c>
      <c r="I582" s="649" t="s">
        <v>1625</v>
      </c>
      <c r="J582" s="649"/>
      <c r="K582" s="649"/>
      <c r="L582" s="651" t="s">
        <v>2146</v>
      </c>
      <c r="M582" s="651"/>
      <c r="N582" s="651"/>
      <c r="O582" s="651"/>
      <c r="P582" s="651" t="s">
        <v>66</v>
      </c>
      <c r="Q582" s="651" t="s">
        <v>1074</v>
      </c>
      <c r="R582" s="651" t="s">
        <v>67</v>
      </c>
      <c r="S582" s="651"/>
    </row>
    <row r="583" spans="1:19">
      <c r="A583" s="649" t="s">
        <v>512</v>
      </c>
      <c r="B583" s="649" t="s">
        <v>614</v>
      </c>
      <c r="C583" s="652">
        <v>0</v>
      </c>
      <c r="D583" s="650">
        <v>0</v>
      </c>
      <c r="E583" s="650">
        <v>0</v>
      </c>
      <c r="F583" s="649">
        <v>0</v>
      </c>
      <c r="G583" s="649">
        <v>0</v>
      </c>
      <c r="H583" s="649">
        <v>0</v>
      </c>
      <c r="I583" s="649" t="s">
        <v>1625</v>
      </c>
      <c r="J583" s="649"/>
      <c r="K583" s="649"/>
      <c r="L583" s="651" t="s">
        <v>2146</v>
      </c>
      <c r="M583" s="651"/>
      <c r="N583" s="651"/>
      <c r="O583" s="651"/>
      <c r="P583" s="651" t="s">
        <v>614</v>
      </c>
      <c r="Q583" s="651" t="s">
        <v>513</v>
      </c>
      <c r="R583" s="651"/>
      <c r="S583" s="651"/>
    </row>
    <row r="584" spans="1:19">
      <c r="A584" s="649" t="s">
        <v>514</v>
      </c>
      <c r="B584" s="649" t="s">
        <v>614</v>
      </c>
      <c r="C584" s="652">
        <v>245000</v>
      </c>
      <c r="D584" s="650">
        <v>245000</v>
      </c>
      <c r="E584" s="650">
        <v>0</v>
      </c>
      <c r="F584" s="649">
        <v>0</v>
      </c>
      <c r="G584" s="649">
        <v>0</v>
      </c>
      <c r="H584" s="649">
        <v>0</v>
      </c>
      <c r="I584" s="649" t="s">
        <v>1625</v>
      </c>
      <c r="J584" s="649">
        <f>SUM(C572:C584)</f>
        <v>268694.11</v>
      </c>
      <c r="K584" s="649"/>
      <c r="L584" s="651" t="s">
        <v>2146</v>
      </c>
      <c r="M584" s="651"/>
      <c r="N584" s="651"/>
      <c r="O584" s="651"/>
      <c r="P584" s="651" t="s">
        <v>614</v>
      </c>
      <c r="Q584" s="651" t="s">
        <v>1971</v>
      </c>
      <c r="R584" s="651" t="s">
        <v>1972</v>
      </c>
      <c r="S584" s="651"/>
    </row>
    <row r="585" spans="1:19">
      <c r="A585" s="649" t="s">
        <v>1973</v>
      </c>
      <c r="B585" s="649" t="s">
        <v>621</v>
      </c>
      <c r="C585" s="652">
        <v>2364.2800000000002</v>
      </c>
      <c r="D585" s="650">
        <v>2500</v>
      </c>
      <c r="E585" s="650">
        <v>1964.28</v>
      </c>
      <c r="F585" s="649">
        <v>0</v>
      </c>
      <c r="G585" s="649">
        <v>135.72</v>
      </c>
      <c r="H585" s="649">
        <v>5</v>
      </c>
      <c r="I585" s="649" t="s">
        <v>1625</v>
      </c>
      <c r="J585" s="649"/>
      <c r="K585" s="649"/>
      <c r="L585" s="651" t="s">
        <v>2146</v>
      </c>
      <c r="M585" s="651"/>
      <c r="N585" s="651"/>
      <c r="O585" s="651"/>
      <c r="P585" s="651" t="s">
        <v>846</v>
      </c>
      <c r="Q585" s="651" t="s">
        <v>1074</v>
      </c>
      <c r="R585" s="651" t="s">
        <v>847</v>
      </c>
      <c r="S585" s="651"/>
    </row>
    <row r="586" spans="1:19">
      <c r="A586" s="649" t="s">
        <v>1974</v>
      </c>
      <c r="B586" s="649" t="s">
        <v>621</v>
      </c>
      <c r="C586" s="652">
        <v>2714.82</v>
      </c>
      <c r="D586" s="650">
        <v>2750</v>
      </c>
      <c r="E586" s="650">
        <v>1952.46</v>
      </c>
      <c r="F586" s="649">
        <v>0</v>
      </c>
      <c r="G586" s="649">
        <v>35.18</v>
      </c>
      <c r="H586" s="649">
        <v>1</v>
      </c>
      <c r="I586" s="649" t="s">
        <v>1625</v>
      </c>
      <c r="J586" s="649"/>
      <c r="K586" s="649"/>
      <c r="L586" s="651" t="s">
        <v>2146</v>
      </c>
      <c r="M586" s="651"/>
      <c r="N586" s="651"/>
      <c r="O586" s="651"/>
      <c r="P586" s="651" t="s">
        <v>881</v>
      </c>
      <c r="Q586" s="651" t="s">
        <v>780</v>
      </c>
      <c r="R586" s="651" t="s">
        <v>882</v>
      </c>
      <c r="S586" s="651"/>
    </row>
    <row r="587" spans="1:19">
      <c r="A587" s="649" t="s">
        <v>1975</v>
      </c>
      <c r="B587" s="649" t="s">
        <v>621</v>
      </c>
      <c r="C587" s="652">
        <v>9657.2000000000007</v>
      </c>
      <c r="D587" s="650">
        <v>13000</v>
      </c>
      <c r="E587" s="650">
        <v>0</v>
      </c>
      <c r="F587" s="649">
        <v>0</v>
      </c>
      <c r="G587" s="649">
        <v>3342.8</v>
      </c>
      <c r="H587" s="649">
        <v>26</v>
      </c>
      <c r="I587" s="649" t="s">
        <v>1625</v>
      </c>
      <c r="J587" s="649"/>
      <c r="K587" s="649"/>
      <c r="L587" s="651" t="s">
        <v>2146</v>
      </c>
      <c r="M587" s="651"/>
      <c r="N587" s="651"/>
      <c r="O587" s="651"/>
      <c r="P587" s="651" t="s">
        <v>63</v>
      </c>
      <c r="Q587" s="651" t="s">
        <v>780</v>
      </c>
      <c r="R587" s="651" t="s">
        <v>64</v>
      </c>
      <c r="S587" s="651"/>
    </row>
    <row r="588" spans="1:19">
      <c r="A588" s="649" t="s">
        <v>1976</v>
      </c>
      <c r="B588" s="649" t="s">
        <v>621</v>
      </c>
      <c r="C588" s="652">
        <v>28827.5</v>
      </c>
      <c r="D588" s="650">
        <v>38000</v>
      </c>
      <c r="E588" s="650">
        <v>0</v>
      </c>
      <c r="F588" s="649">
        <v>0</v>
      </c>
      <c r="G588" s="649">
        <v>9172.5</v>
      </c>
      <c r="H588" s="649">
        <v>24</v>
      </c>
      <c r="I588" s="649" t="s">
        <v>1625</v>
      </c>
      <c r="J588" s="649">
        <f>SUM(C585:C588)</f>
        <v>43563.8</v>
      </c>
      <c r="K588" s="649"/>
      <c r="L588" s="651" t="s">
        <v>2146</v>
      </c>
      <c r="M588" s="651"/>
      <c r="N588" s="651"/>
      <c r="O588" s="651"/>
      <c r="P588" s="651" t="s">
        <v>621</v>
      </c>
      <c r="Q588" s="651" t="s">
        <v>1977</v>
      </c>
      <c r="R588" s="651"/>
      <c r="S588" s="651"/>
    </row>
    <row r="589" spans="1:19">
      <c r="A589" s="649" t="s">
        <v>1978</v>
      </c>
      <c r="B589" s="649" t="s">
        <v>1770</v>
      </c>
      <c r="C589" s="652">
        <v>0</v>
      </c>
      <c r="D589" s="650">
        <v>0</v>
      </c>
      <c r="E589" s="650">
        <v>0</v>
      </c>
      <c r="F589" s="649">
        <v>0</v>
      </c>
      <c r="G589" s="649">
        <v>0</v>
      </c>
      <c r="H589" s="649">
        <v>0</v>
      </c>
      <c r="I589" s="649" t="s">
        <v>1625</v>
      </c>
      <c r="J589" s="649"/>
      <c r="K589" s="649"/>
      <c r="L589" s="651" t="s">
        <v>2146</v>
      </c>
      <c r="M589" s="651"/>
      <c r="N589" s="651"/>
      <c r="O589" s="651"/>
      <c r="P589" s="651" t="s">
        <v>849</v>
      </c>
      <c r="Q589" s="651" t="s">
        <v>780</v>
      </c>
      <c r="R589" s="651" t="s">
        <v>850</v>
      </c>
      <c r="S589" s="651"/>
    </row>
    <row r="590" spans="1:19">
      <c r="A590" s="649" t="s">
        <v>1979</v>
      </c>
      <c r="B590" s="649" t="s">
        <v>1770</v>
      </c>
      <c r="C590" s="652">
        <v>611.74</v>
      </c>
      <c r="D590" s="650">
        <v>700</v>
      </c>
      <c r="E590" s="650">
        <v>525</v>
      </c>
      <c r="F590" s="649">
        <v>0</v>
      </c>
      <c r="G590" s="649">
        <v>88.26</v>
      </c>
      <c r="H590" s="649">
        <v>13</v>
      </c>
      <c r="I590" s="649" t="s">
        <v>1625</v>
      </c>
      <c r="J590" s="649"/>
      <c r="K590" s="649"/>
      <c r="L590" s="651" t="s">
        <v>2146</v>
      </c>
      <c r="M590" s="651"/>
      <c r="N590" s="651"/>
      <c r="O590" s="651"/>
      <c r="P590" s="651" t="s">
        <v>856</v>
      </c>
      <c r="Q590" s="651" t="s">
        <v>857</v>
      </c>
      <c r="R590" s="651"/>
      <c r="S590" s="651"/>
    </row>
    <row r="591" spans="1:19">
      <c r="A591" s="649" t="s">
        <v>1980</v>
      </c>
      <c r="B591" s="649" t="s">
        <v>1770</v>
      </c>
      <c r="C591" s="652">
        <v>0</v>
      </c>
      <c r="D591" s="650">
        <v>0</v>
      </c>
      <c r="E591" s="650">
        <v>0</v>
      </c>
      <c r="F591" s="649">
        <v>0</v>
      </c>
      <c r="G591" s="649">
        <v>0</v>
      </c>
      <c r="H591" s="649">
        <v>0</v>
      </c>
      <c r="I591" s="649" t="s">
        <v>1625</v>
      </c>
      <c r="J591" s="649"/>
      <c r="K591" s="649"/>
      <c r="L591" s="651" t="s">
        <v>2146</v>
      </c>
      <c r="M591" s="651"/>
      <c r="N591" s="651"/>
      <c r="O591" s="651"/>
      <c r="P591" s="651" t="s">
        <v>878</v>
      </c>
      <c r="Q591" s="651" t="s">
        <v>780</v>
      </c>
      <c r="R591" s="651" t="s">
        <v>879</v>
      </c>
      <c r="S591" s="651"/>
    </row>
    <row r="592" spans="1:19">
      <c r="A592" s="649" t="s">
        <v>1981</v>
      </c>
      <c r="B592" s="649" t="s">
        <v>1770</v>
      </c>
      <c r="C592" s="652">
        <v>52.49</v>
      </c>
      <c r="D592" s="650">
        <v>100</v>
      </c>
      <c r="E592" s="650">
        <v>52.49</v>
      </c>
      <c r="F592" s="649">
        <v>0</v>
      </c>
      <c r="G592" s="649">
        <v>47.51</v>
      </c>
      <c r="H592" s="649">
        <v>48</v>
      </c>
      <c r="I592" s="649" t="s">
        <v>1625</v>
      </c>
      <c r="J592" s="649"/>
      <c r="K592" s="649"/>
      <c r="L592" s="651" t="s">
        <v>2146</v>
      </c>
      <c r="M592" s="651"/>
      <c r="N592" s="651"/>
      <c r="O592" s="651"/>
      <c r="P592" s="651" t="s">
        <v>881</v>
      </c>
      <c r="Q592" s="651" t="s">
        <v>780</v>
      </c>
      <c r="R592" s="651" t="s">
        <v>882</v>
      </c>
      <c r="S592" s="651"/>
    </row>
    <row r="593" spans="1:19">
      <c r="A593" s="649" t="s">
        <v>1982</v>
      </c>
      <c r="B593" s="649" t="s">
        <v>1770</v>
      </c>
      <c r="C593" s="652">
        <v>0</v>
      </c>
      <c r="D593" s="650">
        <v>0</v>
      </c>
      <c r="E593" s="650">
        <v>0</v>
      </c>
      <c r="F593" s="649">
        <v>0</v>
      </c>
      <c r="G593" s="649">
        <v>0</v>
      </c>
      <c r="H593" s="649">
        <v>0</v>
      </c>
      <c r="I593" s="649" t="s">
        <v>1625</v>
      </c>
      <c r="J593" s="649"/>
      <c r="K593" s="649"/>
      <c r="L593" s="651" t="s">
        <v>2146</v>
      </c>
      <c r="M593" s="651"/>
      <c r="N593" s="651"/>
      <c r="O593" s="651"/>
      <c r="P593" s="651" t="s">
        <v>333</v>
      </c>
      <c r="Q593" s="651" t="s">
        <v>334</v>
      </c>
      <c r="R593" s="651"/>
      <c r="S593" s="651"/>
    </row>
    <row r="594" spans="1:19">
      <c r="A594" s="649" t="s">
        <v>1983</v>
      </c>
      <c r="B594" s="649" t="s">
        <v>1770</v>
      </c>
      <c r="C594" s="652">
        <v>3067.51</v>
      </c>
      <c r="D594" s="650">
        <v>4000</v>
      </c>
      <c r="E594" s="650">
        <v>274.27999999999997</v>
      </c>
      <c r="F594" s="649">
        <v>0</v>
      </c>
      <c r="G594" s="649">
        <v>932.49</v>
      </c>
      <c r="H594" s="649">
        <v>23</v>
      </c>
      <c r="I594" s="649" t="s">
        <v>1625</v>
      </c>
      <c r="J594" s="649"/>
      <c r="K594" s="649"/>
      <c r="L594" s="651" t="s">
        <v>2146</v>
      </c>
      <c r="M594" s="651"/>
      <c r="N594" s="651"/>
      <c r="O594" s="651"/>
      <c r="P594" s="651" t="s">
        <v>63</v>
      </c>
      <c r="Q594" s="651" t="s">
        <v>780</v>
      </c>
      <c r="R594" s="651" t="s">
        <v>64</v>
      </c>
      <c r="S594" s="651"/>
    </row>
    <row r="595" spans="1:19">
      <c r="A595" s="649" t="s">
        <v>1984</v>
      </c>
      <c r="B595" s="649" t="s">
        <v>1770</v>
      </c>
      <c r="C595" s="652">
        <v>0</v>
      </c>
      <c r="D595" s="650">
        <v>4200</v>
      </c>
      <c r="E595" s="650">
        <v>0</v>
      </c>
      <c r="F595" s="649">
        <v>0</v>
      </c>
      <c r="G595" s="649">
        <v>4200</v>
      </c>
      <c r="H595" s="649">
        <v>100</v>
      </c>
      <c r="I595" s="649" t="s">
        <v>1625</v>
      </c>
      <c r="J595" s="649"/>
      <c r="K595" s="649"/>
      <c r="L595" s="651" t="s">
        <v>2146</v>
      </c>
      <c r="M595" s="651"/>
      <c r="N595" s="651"/>
      <c r="O595" s="651"/>
      <c r="P595" s="651" t="s">
        <v>66</v>
      </c>
      <c r="Q595" s="651" t="s">
        <v>1074</v>
      </c>
      <c r="R595" s="651" t="s">
        <v>67</v>
      </c>
      <c r="S595" s="651"/>
    </row>
    <row r="596" spans="1:19">
      <c r="A596" s="649" t="s">
        <v>1985</v>
      </c>
      <c r="B596" s="649" t="s">
        <v>1770</v>
      </c>
      <c r="C596" s="652">
        <v>0</v>
      </c>
      <c r="D596" s="650">
        <v>0</v>
      </c>
      <c r="E596" s="650">
        <v>13.23</v>
      </c>
      <c r="F596" s="649">
        <v>0</v>
      </c>
      <c r="G596" s="649">
        <v>0</v>
      </c>
      <c r="H596" s="649">
        <v>0</v>
      </c>
      <c r="I596" s="649" t="s">
        <v>1625</v>
      </c>
      <c r="J596" s="649">
        <f>SUM(C589:C596)</f>
        <v>3731.7400000000002</v>
      </c>
      <c r="K596" s="649"/>
      <c r="L596" s="651" t="s">
        <v>2146</v>
      </c>
      <c r="M596" s="651"/>
      <c r="N596" s="651"/>
      <c r="O596" s="651"/>
      <c r="P596" s="651" t="s">
        <v>66</v>
      </c>
      <c r="Q596" s="651" t="s">
        <v>1074</v>
      </c>
      <c r="R596" s="651" t="s">
        <v>69</v>
      </c>
      <c r="S596" s="651"/>
    </row>
    <row r="597" spans="1:19">
      <c r="A597" s="649" t="s">
        <v>1986</v>
      </c>
      <c r="B597" s="649" t="s">
        <v>2173</v>
      </c>
      <c r="C597" s="652">
        <v>0</v>
      </c>
      <c r="D597" s="650">
        <v>0</v>
      </c>
      <c r="E597" s="650">
        <v>0</v>
      </c>
      <c r="F597" s="649">
        <v>0</v>
      </c>
      <c r="G597" s="649">
        <v>0</v>
      </c>
      <c r="H597" s="649">
        <v>0</v>
      </c>
      <c r="I597" s="649" t="s">
        <v>1625</v>
      </c>
      <c r="J597" s="649"/>
      <c r="K597" s="649"/>
      <c r="L597" s="651" t="s">
        <v>2146</v>
      </c>
      <c r="M597" s="651"/>
      <c r="N597" s="651"/>
      <c r="O597" s="651"/>
      <c r="P597" s="651" t="s">
        <v>849</v>
      </c>
      <c r="Q597" s="651" t="s">
        <v>780</v>
      </c>
      <c r="R597" s="651" t="s">
        <v>850</v>
      </c>
      <c r="S597" s="651"/>
    </row>
    <row r="598" spans="1:19">
      <c r="A598" s="649" t="s">
        <v>1987</v>
      </c>
      <c r="B598" s="649" t="s">
        <v>2173</v>
      </c>
      <c r="C598" s="652">
        <v>82.5</v>
      </c>
      <c r="D598" s="650">
        <v>100</v>
      </c>
      <c r="E598" s="650">
        <v>82.5</v>
      </c>
      <c r="F598" s="649">
        <v>0</v>
      </c>
      <c r="G598" s="649">
        <v>17.5</v>
      </c>
      <c r="H598" s="649">
        <v>18</v>
      </c>
      <c r="I598" s="649" t="s">
        <v>1625</v>
      </c>
      <c r="J598" s="649"/>
      <c r="K598" s="649"/>
      <c r="L598" s="651" t="s">
        <v>2146</v>
      </c>
      <c r="M598" s="651"/>
      <c r="N598" s="651"/>
      <c r="O598" s="651"/>
      <c r="P598" s="651" t="s">
        <v>856</v>
      </c>
      <c r="Q598" s="651" t="s">
        <v>857</v>
      </c>
      <c r="R598" s="651"/>
      <c r="S598" s="651"/>
    </row>
    <row r="599" spans="1:19">
      <c r="A599" s="649" t="s">
        <v>1988</v>
      </c>
      <c r="B599" s="649" t="s">
        <v>2173</v>
      </c>
      <c r="C599" s="652">
        <v>0</v>
      </c>
      <c r="D599" s="650">
        <v>0</v>
      </c>
      <c r="E599" s="650">
        <v>0</v>
      </c>
      <c r="F599" s="649">
        <v>0</v>
      </c>
      <c r="G599" s="649">
        <v>0</v>
      </c>
      <c r="H599" s="649">
        <v>0</v>
      </c>
      <c r="I599" s="649" t="s">
        <v>1625</v>
      </c>
      <c r="J599" s="649"/>
      <c r="K599" s="649"/>
      <c r="L599" s="651" t="s">
        <v>2146</v>
      </c>
      <c r="M599" s="651"/>
      <c r="N599" s="651"/>
      <c r="O599" s="651"/>
      <c r="P599" s="651" t="s">
        <v>878</v>
      </c>
      <c r="Q599" s="651" t="s">
        <v>780</v>
      </c>
      <c r="R599" s="651" t="s">
        <v>879</v>
      </c>
      <c r="S599" s="651"/>
    </row>
    <row r="600" spans="1:19">
      <c r="A600" s="649" t="s">
        <v>1989</v>
      </c>
      <c r="B600" s="649" t="s">
        <v>2173</v>
      </c>
      <c r="C600" s="652">
        <v>2902.44</v>
      </c>
      <c r="D600" s="650">
        <v>3000</v>
      </c>
      <c r="E600" s="650">
        <v>0</v>
      </c>
      <c r="F600" s="649">
        <v>0</v>
      </c>
      <c r="G600" s="649">
        <v>97.56</v>
      </c>
      <c r="H600" s="649">
        <v>3</v>
      </c>
      <c r="I600" s="649" t="s">
        <v>1625</v>
      </c>
      <c r="J600" s="649"/>
      <c r="K600" s="649"/>
      <c r="L600" s="651" t="s">
        <v>2146</v>
      </c>
      <c r="M600" s="651"/>
      <c r="N600" s="651"/>
      <c r="O600" s="651"/>
      <c r="P600" s="651" t="s">
        <v>881</v>
      </c>
      <c r="Q600" s="651" t="s">
        <v>780</v>
      </c>
      <c r="R600" s="651" t="s">
        <v>882</v>
      </c>
      <c r="S600" s="651"/>
    </row>
    <row r="601" spans="1:19">
      <c r="A601" s="649" t="s">
        <v>1990</v>
      </c>
      <c r="B601" s="649" t="s">
        <v>2173</v>
      </c>
      <c r="C601" s="652">
        <v>0</v>
      </c>
      <c r="D601" s="650">
        <v>0</v>
      </c>
      <c r="E601" s="650">
        <v>0</v>
      </c>
      <c r="F601" s="649">
        <v>0</v>
      </c>
      <c r="G601" s="649">
        <v>0</v>
      </c>
      <c r="H601" s="649">
        <v>0</v>
      </c>
      <c r="I601" s="649" t="s">
        <v>1625</v>
      </c>
      <c r="J601" s="649"/>
      <c r="K601" s="649"/>
      <c r="L601" s="651" t="s">
        <v>2146</v>
      </c>
      <c r="M601" s="651"/>
      <c r="N601" s="651"/>
      <c r="O601" s="651"/>
      <c r="P601" s="651" t="s">
        <v>333</v>
      </c>
      <c r="Q601" s="651" t="s">
        <v>334</v>
      </c>
      <c r="R601" s="651"/>
      <c r="S601" s="651"/>
    </row>
    <row r="602" spans="1:19">
      <c r="A602" s="649" t="s">
        <v>1991</v>
      </c>
      <c r="B602" s="649" t="s">
        <v>2173</v>
      </c>
      <c r="C602" s="652">
        <v>0</v>
      </c>
      <c r="D602" s="650">
        <v>8900</v>
      </c>
      <c r="E602" s="650">
        <v>0</v>
      </c>
      <c r="F602" s="649">
        <v>0</v>
      </c>
      <c r="G602" s="649">
        <v>8900</v>
      </c>
      <c r="H602" s="649">
        <v>100</v>
      </c>
      <c r="I602" s="649" t="s">
        <v>1625</v>
      </c>
      <c r="J602" s="649"/>
      <c r="K602" s="649"/>
      <c r="L602" s="651" t="s">
        <v>2146</v>
      </c>
      <c r="M602" s="651"/>
      <c r="N602" s="651"/>
      <c r="O602" s="651"/>
      <c r="P602" s="651" t="s">
        <v>63</v>
      </c>
      <c r="Q602" s="651" t="s">
        <v>780</v>
      </c>
      <c r="R602" s="651" t="s">
        <v>64</v>
      </c>
      <c r="S602" s="651"/>
    </row>
    <row r="603" spans="1:19">
      <c r="A603" s="649" t="s">
        <v>1992</v>
      </c>
      <c r="B603" s="649" t="s">
        <v>2173</v>
      </c>
      <c r="C603" s="652">
        <v>0</v>
      </c>
      <c r="D603" s="650">
        <v>0</v>
      </c>
      <c r="E603" s="650">
        <v>0</v>
      </c>
      <c r="F603" s="649">
        <v>0</v>
      </c>
      <c r="G603" s="649">
        <v>0</v>
      </c>
      <c r="H603" s="649">
        <v>0</v>
      </c>
      <c r="I603" s="649" t="s">
        <v>1625</v>
      </c>
      <c r="J603" s="649"/>
      <c r="K603" s="649"/>
      <c r="L603" s="651" t="s">
        <v>2146</v>
      </c>
      <c r="M603" s="651"/>
      <c r="N603" s="651"/>
      <c r="O603" s="651"/>
      <c r="P603" s="651" t="s">
        <v>66</v>
      </c>
      <c r="Q603" s="651" t="s">
        <v>1074</v>
      </c>
      <c r="R603" s="651" t="s">
        <v>67</v>
      </c>
      <c r="S603" s="651"/>
    </row>
    <row r="604" spans="1:19">
      <c r="A604" s="649" t="s">
        <v>1993</v>
      </c>
      <c r="B604" s="649" t="s">
        <v>2173</v>
      </c>
      <c r="C604" s="652">
        <v>0</v>
      </c>
      <c r="D604" s="650">
        <v>0</v>
      </c>
      <c r="E604" s="650">
        <v>0</v>
      </c>
      <c r="F604" s="649">
        <v>0</v>
      </c>
      <c r="G604" s="649">
        <v>0</v>
      </c>
      <c r="H604" s="649">
        <v>0</v>
      </c>
      <c r="I604" s="649" t="s">
        <v>1625</v>
      </c>
      <c r="J604" s="649">
        <f>SUM(C597:C604)</f>
        <v>2984.94</v>
      </c>
      <c r="K604" s="649"/>
      <c r="L604" s="651" t="s">
        <v>2146</v>
      </c>
      <c r="M604" s="651"/>
      <c r="N604" s="651"/>
      <c r="O604" s="651"/>
      <c r="P604" s="651" t="s">
        <v>66</v>
      </c>
      <c r="Q604" s="651" t="s">
        <v>1074</v>
      </c>
      <c r="R604" s="651" t="s">
        <v>69</v>
      </c>
      <c r="S604" s="651"/>
    </row>
    <row r="605" spans="1:19">
      <c r="A605" s="649" t="s">
        <v>1994</v>
      </c>
      <c r="B605" s="649" t="s">
        <v>2174</v>
      </c>
      <c r="C605" s="652">
        <v>0</v>
      </c>
      <c r="D605" s="650">
        <v>0</v>
      </c>
      <c r="E605" s="650">
        <v>0</v>
      </c>
      <c r="F605" s="649">
        <v>0</v>
      </c>
      <c r="G605" s="649">
        <v>0</v>
      </c>
      <c r="H605" s="649">
        <v>0</v>
      </c>
      <c r="I605" s="649" t="s">
        <v>1625</v>
      </c>
      <c r="J605" s="649"/>
      <c r="K605" s="649"/>
      <c r="L605" s="651" t="s">
        <v>2146</v>
      </c>
      <c r="M605" s="651"/>
      <c r="N605" s="651"/>
      <c r="O605" s="651"/>
      <c r="P605" s="651" t="s">
        <v>849</v>
      </c>
      <c r="Q605" s="651" t="s">
        <v>780</v>
      </c>
      <c r="R605" s="651" t="s">
        <v>850</v>
      </c>
      <c r="S605" s="651"/>
    </row>
    <row r="606" spans="1:19">
      <c r="A606" s="649" t="s">
        <v>1995</v>
      </c>
      <c r="B606" s="649" t="s">
        <v>2174</v>
      </c>
      <c r="C606" s="652">
        <v>0</v>
      </c>
      <c r="D606" s="650">
        <v>0</v>
      </c>
      <c r="E606" s="650">
        <v>0</v>
      </c>
      <c r="F606" s="649">
        <v>0</v>
      </c>
      <c r="G606" s="649">
        <v>0</v>
      </c>
      <c r="H606" s="649">
        <v>0</v>
      </c>
      <c r="I606" s="649" t="s">
        <v>1625</v>
      </c>
      <c r="J606" s="649"/>
      <c r="K606" s="649"/>
      <c r="L606" s="651" t="s">
        <v>2146</v>
      </c>
      <c r="M606" s="651"/>
      <c r="N606" s="651"/>
      <c r="O606" s="651"/>
      <c r="P606" s="651" t="s">
        <v>856</v>
      </c>
      <c r="Q606" s="651" t="s">
        <v>857</v>
      </c>
      <c r="R606" s="651"/>
      <c r="S606" s="651"/>
    </row>
    <row r="607" spans="1:19">
      <c r="A607" s="649" t="s">
        <v>1996</v>
      </c>
      <c r="B607" s="649" t="s">
        <v>2174</v>
      </c>
      <c r="C607" s="652">
        <v>0</v>
      </c>
      <c r="D607" s="650">
        <v>0</v>
      </c>
      <c r="E607" s="650">
        <v>0</v>
      </c>
      <c r="F607" s="649">
        <v>0</v>
      </c>
      <c r="G607" s="649">
        <v>0</v>
      </c>
      <c r="H607" s="649">
        <v>0</v>
      </c>
      <c r="I607" s="649" t="s">
        <v>1625</v>
      </c>
      <c r="J607" s="649"/>
      <c r="K607" s="649"/>
      <c r="L607" s="651" t="s">
        <v>2146</v>
      </c>
      <c r="M607" s="651"/>
      <c r="N607" s="651"/>
      <c r="O607" s="651"/>
      <c r="P607" s="651" t="s">
        <v>878</v>
      </c>
      <c r="Q607" s="651" t="s">
        <v>780</v>
      </c>
      <c r="R607" s="651" t="s">
        <v>879</v>
      </c>
      <c r="S607" s="651"/>
    </row>
    <row r="608" spans="1:19">
      <c r="A608" s="649" t="s">
        <v>1997</v>
      </c>
      <c r="B608" s="649" t="s">
        <v>2174</v>
      </c>
      <c r="C608" s="652">
        <v>0</v>
      </c>
      <c r="D608" s="650">
        <v>0</v>
      </c>
      <c r="E608" s="650">
        <v>0</v>
      </c>
      <c r="F608" s="649">
        <v>0</v>
      </c>
      <c r="G608" s="649">
        <v>0</v>
      </c>
      <c r="H608" s="649">
        <v>0</v>
      </c>
      <c r="I608" s="649" t="s">
        <v>1625</v>
      </c>
      <c r="J608" s="649"/>
      <c r="K608" s="649"/>
      <c r="L608" s="651" t="s">
        <v>2146</v>
      </c>
      <c r="M608" s="651"/>
      <c r="N608" s="651"/>
      <c r="O608" s="651"/>
      <c r="P608" s="651" t="s">
        <v>881</v>
      </c>
      <c r="Q608" s="651" t="s">
        <v>780</v>
      </c>
      <c r="R608" s="651" t="s">
        <v>882</v>
      </c>
      <c r="S608" s="651"/>
    </row>
    <row r="609" spans="1:19">
      <c r="A609" s="649" t="s">
        <v>1998</v>
      </c>
      <c r="B609" s="649" t="s">
        <v>2174</v>
      </c>
      <c r="C609" s="652">
        <v>0</v>
      </c>
      <c r="D609" s="650">
        <v>0</v>
      </c>
      <c r="E609" s="650">
        <v>0</v>
      </c>
      <c r="F609" s="649">
        <v>0</v>
      </c>
      <c r="G609" s="649">
        <v>0</v>
      </c>
      <c r="H609" s="649">
        <v>0</v>
      </c>
      <c r="I609" s="649" t="s">
        <v>1625</v>
      </c>
      <c r="J609" s="649"/>
      <c r="K609" s="649"/>
      <c r="L609" s="651" t="s">
        <v>2146</v>
      </c>
      <c r="M609" s="651"/>
      <c r="N609" s="651"/>
      <c r="O609" s="651"/>
      <c r="P609" s="651" t="s">
        <v>333</v>
      </c>
      <c r="Q609" s="651" t="s">
        <v>334</v>
      </c>
      <c r="R609" s="651"/>
      <c r="S609" s="651"/>
    </row>
    <row r="610" spans="1:19">
      <c r="A610" s="649" t="s">
        <v>1999</v>
      </c>
      <c r="B610" s="649" t="s">
        <v>2174</v>
      </c>
      <c r="C610" s="652">
        <v>0</v>
      </c>
      <c r="D610" s="650">
        <v>0</v>
      </c>
      <c r="E610" s="650">
        <v>0</v>
      </c>
      <c r="F610" s="649">
        <v>0</v>
      </c>
      <c r="G610" s="649">
        <v>0</v>
      </c>
      <c r="H610" s="649">
        <v>0</v>
      </c>
      <c r="I610" s="649" t="s">
        <v>1625</v>
      </c>
      <c r="J610" s="649"/>
      <c r="K610" s="649"/>
      <c r="L610" s="651" t="s">
        <v>2146</v>
      </c>
      <c r="M610" s="651"/>
      <c r="N610" s="651"/>
      <c r="O610" s="651"/>
      <c r="P610" s="651" t="s">
        <v>63</v>
      </c>
      <c r="Q610" s="651" t="s">
        <v>780</v>
      </c>
      <c r="R610" s="651" t="s">
        <v>64</v>
      </c>
      <c r="S610" s="651"/>
    </row>
    <row r="611" spans="1:19">
      <c r="A611" s="649" t="s">
        <v>2000</v>
      </c>
      <c r="B611" s="649" t="s">
        <v>2174</v>
      </c>
      <c r="C611" s="652">
        <v>0</v>
      </c>
      <c r="D611" s="650">
        <v>0</v>
      </c>
      <c r="E611" s="650">
        <v>0</v>
      </c>
      <c r="F611" s="649">
        <v>0</v>
      </c>
      <c r="G611" s="649">
        <v>0</v>
      </c>
      <c r="H611" s="649">
        <v>0</v>
      </c>
      <c r="I611" s="649" t="s">
        <v>1625</v>
      </c>
      <c r="J611" s="649"/>
      <c r="K611" s="649"/>
      <c r="L611" s="651" t="s">
        <v>2146</v>
      </c>
      <c r="M611" s="651"/>
      <c r="N611" s="651"/>
      <c r="O611" s="651"/>
      <c r="P611" s="651" t="s">
        <v>66</v>
      </c>
      <c r="Q611" s="651" t="s">
        <v>1074</v>
      </c>
      <c r="R611" s="651" t="s">
        <v>67</v>
      </c>
      <c r="S611" s="651"/>
    </row>
    <row r="612" spans="1:19">
      <c r="A612" s="649" t="s">
        <v>2001</v>
      </c>
      <c r="B612" s="649" t="s">
        <v>2174</v>
      </c>
      <c r="C612" s="652">
        <v>0</v>
      </c>
      <c r="D612" s="650">
        <v>0</v>
      </c>
      <c r="E612" s="650">
        <v>0</v>
      </c>
      <c r="F612" s="649">
        <v>0</v>
      </c>
      <c r="G612" s="649">
        <v>0</v>
      </c>
      <c r="H612" s="649">
        <v>0</v>
      </c>
      <c r="I612" s="649" t="s">
        <v>1625</v>
      </c>
      <c r="J612" s="649">
        <f>SUM(C605:C612)</f>
        <v>0</v>
      </c>
      <c r="K612" s="649"/>
      <c r="L612" s="651" t="s">
        <v>2146</v>
      </c>
      <c r="M612" s="651"/>
      <c r="N612" s="651"/>
      <c r="O612" s="651"/>
      <c r="P612" s="651" t="s">
        <v>66</v>
      </c>
      <c r="Q612" s="651" t="s">
        <v>1074</v>
      </c>
      <c r="R612" s="651" t="s">
        <v>69</v>
      </c>
      <c r="S612" s="651"/>
    </row>
    <row r="613" spans="1:19">
      <c r="A613" s="649" t="s">
        <v>2002</v>
      </c>
      <c r="B613" s="649" t="s">
        <v>2175</v>
      </c>
      <c r="C613" s="652">
        <v>0</v>
      </c>
      <c r="D613" s="650">
        <v>0</v>
      </c>
      <c r="E613" s="650">
        <v>0</v>
      </c>
      <c r="F613" s="649">
        <v>0</v>
      </c>
      <c r="G613" s="649">
        <v>0</v>
      </c>
      <c r="H613" s="649">
        <v>0</v>
      </c>
      <c r="I613" s="649" t="s">
        <v>773</v>
      </c>
      <c r="J613" s="649"/>
      <c r="K613" s="649"/>
      <c r="L613" s="651"/>
      <c r="M613" s="651"/>
      <c r="N613" s="651"/>
      <c r="O613" s="651"/>
      <c r="P613" s="651" t="s">
        <v>3253</v>
      </c>
      <c r="Q613" s="651" t="s">
        <v>2003</v>
      </c>
      <c r="R613" s="651"/>
      <c r="S613" s="651"/>
    </row>
    <row r="614" spans="1:19">
      <c r="A614" s="649" t="s">
        <v>2004</v>
      </c>
      <c r="B614" s="649" t="s">
        <v>2175</v>
      </c>
      <c r="C614" s="652">
        <v>0</v>
      </c>
      <c r="D614" s="650">
        <v>0</v>
      </c>
      <c r="E614" s="650">
        <v>27455.08</v>
      </c>
      <c r="F614" s="649">
        <v>0</v>
      </c>
      <c r="G614" s="649">
        <v>0</v>
      </c>
      <c r="H614" s="649">
        <v>0</v>
      </c>
      <c r="I614" s="649" t="s">
        <v>773</v>
      </c>
      <c r="J614" s="649"/>
      <c r="K614" s="649"/>
      <c r="L614" s="651"/>
      <c r="M614" s="651"/>
      <c r="N614" s="651"/>
      <c r="O614" s="651"/>
      <c r="P614" s="651" t="s">
        <v>769</v>
      </c>
      <c r="Q614" s="651" t="s">
        <v>689</v>
      </c>
      <c r="R614" s="651"/>
      <c r="S614" s="651"/>
    </row>
    <row r="615" spans="1:19">
      <c r="A615" s="649" t="s">
        <v>2005</v>
      </c>
      <c r="B615" s="649" t="s">
        <v>2175</v>
      </c>
      <c r="C615" s="652">
        <v>-2200014.21</v>
      </c>
      <c r="D615" s="650">
        <v>-960000</v>
      </c>
      <c r="E615" s="650">
        <v>-2425453.37</v>
      </c>
      <c r="F615" s="649">
        <v>0</v>
      </c>
      <c r="G615" s="649">
        <v>1240014.21</v>
      </c>
      <c r="H615" s="649">
        <v>-129</v>
      </c>
      <c r="I615" s="649" t="s">
        <v>773</v>
      </c>
      <c r="J615" s="649"/>
      <c r="K615" s="649"/>
      <c r="L615" s="651" t="s">
        <v>37</v>
      </c>
      <c r="M615" s="651"/>
      <c r="N615" s="651"/>
      <c r="O615" s="651"/>
      <c r="P615" s="651" t="s">
        <v>2006</v>
      </c>
      <c r="Q615" s="651" t="s">
        <v>1764</v>
      </c>
      <c r="R615" s="651"/>
      <c r="S615" s="651"/>
    </row>
    <row r="616" spans="1:19">
      <c r="A616" s="649" t="s">
        <v>2007</v>
      </c>
      <c r="B616" s="649" t="s">
        <v>2175</v>
      </c>
      <c r="C616" s="652">
        <v>-828950</v>
      </c>
      <c r="D616" s="650">
        <v>-1800000</v>
      </c>
      <c r="E616" s="650">
        <v>2041567.34</v>
      </c>
      <c r="F616" s="649">
        <v>0</v>
      </c>
      <c r="G616" s="649">
        <v>-971050</v>
      </c>
      <c r="H616" s="649">
        <v>54</v>
      </c>
      <c r="I616" s="649" t="s">
        <v>773</v>
      </c>
      <c r="J616" s="649"/>
      <c r="K616" s="649">
        <f>SUM(C613:C616)</f>
        <v>-3028964.21</v>
      </c>
      <c r="L616" s="651" t="s">
        <v>38</v>
      </c>
      <c r="M616" s="651"/>
      <c r="N616" s="651"/>
      <c r="O616" s="651"/>
      <c r="P616" s="651" t="s">
        <v>1764</v>
      </c>
      <c r="Q616" s="651" t="s">
        <v>1616</v>
      </c>
      <c r="R616" s="651"/>
      <c r="S616" s="651"/>
    </row>
    <row r="617" spans="1:19">
      <c r="A617" s="649" t="s">
        <v>2008</v>
      </c>
      <c r="B617" s="649" t="s">
        <v>2175</v>
      </c>
      <c r="C617" s="652">
        <v>1540877.02</v>
      </c>
      <c r="D617" s="650">
        <v>1541000</v>
      </c>
      <c r="E617" s="650">
        <v>137434.99</v>
      </c>
      <c r="F617" s="649">
        <v>0</v>
      </c>
      <c r="G617" s="649">
        <v>122.98</v>
      </c>
      <c r="H617" s="649">
        <v>0</v>
      </c>
      <c r="I617" s="649" t="s">
        <v>1625</v>
      </c>
      <c r="J617" s="649"/>
      <c r="K617" s="649"/>
      <c r="L617" s="651" t="s">
        <v>2140</v>
      </c>
      <c r="M617" s="651"/>
      <c r="N617" s="651"/>
      <c r="O617" s="651" t="s">
        <v>2180</v>
      </c>
      <c r="P617" s="651" t="s">
        <v>103</v>
      </c>
      <c r="Q617" s="651" t="s">
        <v>104</v>
      </c>
      <c r="R617" s="651" t="s">
        <v>1074</v>
      </c>
      <c r="S617" s="651" t="s">
        <v>105</v>
      </c>
    </row>
    <row r="618" spans="1:19">
      <c r="A618" s="649" t="s">
        <v>2009</v>
      </c>
      <c r="B618" s="649" t="s">
        <v>2175</v>
      </c>
      <c r="C618" s="652">
        <v>156662.29999999999</v>
      </c>
      <c r="D618" s="650">
        <v>157000</v>
      </c>
      <c r="E618" s="650">
        <v>10872.99</v>
      </c>
      <c r="F618" s="649">
        <v>0</v>
      </c>
      <c r="G618" s="649">
        <v>337.7</v>
      </c>
      <c r="H618" s="649">
        <v>0</v>
      </c>
      <c r="I618" s="649" t="s">
        <v>1625</v>
      </c>
      <c r="J618" s="649"/>
      <c r="K618" s="649"/>
      <c r="L618" s="651" t="s">
        <v>2140</v>
      </c>
      <c r="M618" s="651"/>
      <c r="N618" s="651"/>
      <c r="O618" s="651" t="s">
        <v>2180</v>
      </c>
      <c r="P618" s="651" t="s">
        <v>107</v>
      </c>
      <c r="Q618" s="651" t="s">
        <v>1074</v>
      </c>
      <c r="R618" s="651" t="s">
        <v>108</v>
      </c>
      <c r="S618" s="651"/>
    </row>
    <row r="619" spans="1:19">
      <c r="A619" s="649" t="s">
        <v>2010</v>
      </c>
      <c r="B619" s="649" t="s">
        <v>2175</v>
      </c>
      <c r="C619" s="652">
        <v>108270.19</v>
      </c>
      <c r="D619" s="650">
        <v>108305</v>
      </c>
      <c r="E619" s="650">
        <v>1107.45</v>
      </c>
      <c r="F619" s="649">
        <v>0</v>
      </c>
      <c r="G619" s="649">
        <v>34.81</v>
      </c>
      <c r="H619" s="649">
        <v>0</v>
      </c>
      <c r="I619" s="649" t="s">
        <v>1625</v>
      </c>
      <c r="J619" s="649"/>
      <c r="K619" s="649"/>
      <c r="L619" s="651" t="s">
        <v>2140</v>
      </c>
      <c r="M619" s="651"/>
      <c r="N619" s="651"/>
      <c r="O619" s="651" t="s">
        <v>2180</v>
      </c>
      <c r="P619" s="651" t="s">
        <v>77</v>
      </c>
      <c r="Q619" s="651" t="s">
        <v>110</v>
      </c>
      <c r="R619" s="651" t="s">
        <v>1074</v>
      </c>
      <c r="S619" s="651" t="s">
        <v>111</v>
      </c>
    </row>
    <row r="620" spans="1:19">
      <c r="A620" s="649" t="s">
        <v>2011</v>
      </c>
      <c r="B620" s="649" t="s">
        <v>2175</v>
      </c>
      <c r="C620" s="652">
        <v>40451.279999999999</v>
      </c>
      <c r="D620" s="650">
        <v>40500</v>
      </c>
      <c r="E620" s="650">
        <v>2251.0700000000002</v>
      </c>
      <c r="F620" s="649">
        <v>0</v>
      </c>
      <c r="G620" s="649">
        <v>48.72</v>
      </c>
      <c r="H620" s="649">
        <v>0</v>
      </c>
      <c r="I620" s="649" t="s">
        <v>1625</v>
      </c>
      <c r="J620" s="649"/>
      <c r="K620" s="649"/>
      <c r="L620" s="651" t="s">
        <v>2140</v>
      </c>
      <c r="M620" s="651"/>
      <c r="N620" s="651"/>
      <c r="O620" s="651" t="s">
        <v>2180</v>
      </c>
      <c r="P620" s="651" t="s">
        <v>1959</v>
      </c>
      <c r="Q620" s="651" t="s">
        <v>805</v>
      </c>
      <c r="R620" s="651"/>
      <c r="S620" s="651"/>
    </row>
    <row r="621" spans="1:19">
      <c r="A621" s="649" t="s">
        <v>2012</v>
      </c>
      <c r="B621" s="649" t="s">
        <v>2175</v>
      </c>
      <c r="C621" s="652">
        <v>67567.320000000007</v>
      </c>
      <c r="D621" s="650">
        <v>67600</v>
      </c>
      <c r="E621" s="650">
        <v>0</v>
      </c>
      <c r="F621" s="649">
        <v>0</v>
      </c>
      <c r="G621" s="649">
        <v>32.68</v>
      </c>
      <c r="H621" s="649">
        <v>0</v>
      </c>
      <c r="I621" s="649" t="s">
        <v>1625</v>
      </c>
      <c r="J621" s="649"/>
      <c r="K621" s="649"/>
      <c r="L621" s="651" t="s">
        <v>2140</v>
      </c>
      <c r="M621" s="651"/>
      <c r="N621" s="651"/>
      <c r="O621" s="651" t="s">
        <v>2180</v>
      </c>
      <c r="P621" s="651" t="s">
        <v>713</v>
      </c>
      <c r="Q621" s="651" t="s">
        <v>3445</v>
      </c>
      <c r="R621" s="651" t="s">
        <v>1074</v>
      </c>
      <c r="S621" s="651"/>
    </row>
    <row r="622" spans="1:19">
      <c r="A622" s="649" t="s">
        <v>2013</v>
      </c>
      <c r="B622" s="649" t="s">
        <v>2175</v>
      </c>
      <c r="C622" s="652">
        <v>0</v>
      </c>
      <c r="D622" s="650">
        <v>0</v>
      </c>
      <c r="E622" s="650">
        <v>0</v>
      </c>
      <c r="F622" s="649">
        <v>0</v>
      </c>
      <c r="G622" s="649">
        <v>0</v>
      </c>
      <c r="H622" s="649">
        <v>0</v>
      </c>
      <c r="I622" s="649" t="s">
        <v>1625</v>
      </c>
      <c r="J622" s="649"/>
      <c r="K622" s="649"/>
      <c r="L622" s="651" t="s">
        <v>2140</v>
      </c>
      <c r="M622" s="651"/>
      <c r="N622" s="651"/>
      <c r="O622" s="651" t="s">
        <v>2180</v>
      </c>
      <c r="P622" s="651" t="s">
        <v>915</v>
      </c>
      <c r="Q622" s="651" t="s">
        <v>114</v>
      </c>
      <c r="R622" s="651" t="s">
        <v>1074</v>
      </c>
      <c r="S622" s="651" t="s">
        <v>115</v>
      </c>
    </row>
    <row r="623" spans="1:19">
      <c r="A623" s="649" t="s">
        <v>2014</v>
      </c>
      <c r="B623" s="649" t="s">
        <v>2175</v>
      </c>
      <c r="C623" s="652">
        <v>11947</v>
      </c>
      <c r="D623" s="650">
        <v>13000</v>
      </c>
      <c r="E623" s="650">
        <v>1050</v>
      </c>
      <c r="F623" s="649">
        <v>0</v>
      </c>
      <c r="G623" s="649">
        <v>1053</v>
      </c>
      <c r="H623" s="649">
        <v>8</v>
      </c>
      <c r="I623" s="649" t="s">
        <v>1625</v>
      </c>
      <c r="J623" s="649"/>
      <c r="K623" s="649"/>
      <c r="L623" s="651" t="s">
        <v>2140</v>
      </c>
      <c r="M623" s="651"/>
      <c r="N623" s="651"/>
      <c r="O623" s="651" t="s">
        <v>1770</v>
      </c>
      <c r="P623" s="651" t="s">
        <v>1101</v>
      </c>
      <c r="Q623" s="651" t="s">
        <v>805</v>
      </c>
      <c r="R623" s="651"/>
      <c r="S623" s="651"/>
    </row>
    <row r="624" spans="1:19">
      <c r="A624" s="649" t="s">
        <v>2015</v>
      </c>
      <c r="B624" s="649" t="s">
        <v>2175</v>
      </c>
      <c r="C624" s="652">
        <v>179992.82</v>
      </c>
      <c r="D624" s="650">
        <v>180000</v>
      </c>
      <c r="E624" s="650">
        <v>16443.07</v>
      </c>
      <c r="F624" s="649">
        <v>0</v>
      </c>
      <c r="G624" s="649">
        <v>7.18</v>
      </c>
      <c r="H624" s="649">
        <v>0</v>
      </c>
      <c r="I624" s="649" t="s">
        <v>1625</v>
      </c>
      <c r="J624" s="649"/>
      <c r="K624" s="649"/>
      <c r="L624" s="651" t="s">
        <v>2140</v>
      </c>
      <c r="M624" s="651"/>
      <c r="N624" s="651"/>
      <c r="O624" s="651" t="s">
        <v>2180</v>
      </c>
      <c r="P624" s="651" t="s">
        <v>118</v>
      </c>
      <c r="Q624" s="651" t="s">
        <v>805</v>
      </c>
      <c r="R624" s="651"/>
      <c r="S624" s="651"/>
    </row>
    <row r="625" spans="1:19">
      <c r="A625" s="649" t="s">
        <v>2016</v>
      </c>
      <c r="B625" s="649" t="s">
        <v>2175</v>
      </c>
      <c r="C625" s="652">
        <v>458.28</v>
      </c>
      <c r="D625" s="650">
        <v>500</v>
      </c>
      <c r="E625" s="650">
        <v>0</v>
      </c>
      <c r="F625" s="649">
        <v>0</v>
      </c>
      <c r="G625" s="649">
        <v>41.72</v>
      </c>
      <c r="H625" s="649">
        <v>8</v>
      </c>
      <c r="I625" s="649" t="s">
        <v>1625</v>
      </c>
      <c r="J625" s="649"/>
      <c r="K625" s="649"/>
      <c r="L625" s="651" t="s">
        <v>2140</v>
      </c>
      <c r="M625" s="651"/>
      <c r="N625" s="651"/>
      <c r="O625" s="651" t="s">
        <v>2180</v>
      </c>
      <c r="P625" s="651" t="s">
        <v>787</v>
      </c>
      <c r="Q625" s="651" t="s">
        <v>788</v>
      </c>
      <c r="R625" s="651" t="s">
        <v>789</v>
      </c>
      <c r="S625" s="651"/>
    </row>
    <row r="626" spans="1:19">
      <c r="A626" s="649" t="s">
        <v>2017</v>
      </c>
      <c r="B626" s="649" t="s">
        <v>2175</v>
      </c>
      <c r="C626" s="652">
        <v>59976</v>
      </c>
      <c r="D626" s="650">
        <v>60000</v>
      </c>
      <c r="E626" s="650">
        <v>7419.6</v>
      </c>
      <c r="F626" s="649">
        <v>0</v>
      </c>
      <c r="G626" s="649">
        <v>24</v>
      </c>
      <c r="H626" s="649">
        <v>0</v>
      </c>
      <c r="I626" s="649" t="s">
        <v>1625</v>
      </c>
      <c r="J626" s="649"/>
      <c r="K626" s="649"/>
      <c r="L626" s="651" t="s">
        <v>2140</v>
      </c>
      <c r="M626" s="651"/>
      <c r="N626" s="651"/>
      <c r="O626" s="651" t="s">
        <v>2178</v>
      </c>
      <c r="P626" s="651" t="s">
        <v>816</v>
      </c>
      <c r="Q626" s="651" t="s">
        <v>1074</v>
      </c>
      <c r="R626" s="651" t="s">
        <v>796</v>
      </c>
      <c r="S626" s="651" t="s">
        <v>797</v>
      </c>
    </row>
    <row r="627" spans="1:19">
      <c r="A627" s="649" t="s">
        <v>2018</v>
      </c>
      <c r="B627" s="649" t="s">
        <v>2175</v>
      </c>
      <c r="C627" s="652">
        <v>240608.16</v>
      </c>
      <c r="D627" s="650">
        <v>240700</v>
      </c>
      <c r="E627" s="650">
        <v>24342.39</v>
      </c>
      <c r="F627" s="649">
        <v>0</v>
      </c>
      <c r="G627" s="649">
        <v>91.84</v>
      </c>
      <c r="H627" s="649">
        <v>0</v>
      </c>
      <c r="I627" s="649" t="s">
        <v>1625</v>
      </c>
      <c r="J627" s="649"/>
      <c r="K627" s="649"/>
      <c r="L627" s="651" t="s">
        <v>2140</v>
      </c>
      <c r="M627" s="651"/>
      <c r="N627" s="651"/>
      <c r="O627" s="651" t="s">
        <v>2181</v>
      </c>
      <c r="P627" s="651" t="s">
        <v>816</v>
      </c>
      <c r="Q627" s="651" t="s">
        <v>1074</v>
      </c>
      <c r="R627" s="651" t="s">
        <v>124</v>
      </c>
      <c r="S627" s="651" t="s">
        <v>125</v>
      </c>
    </row>
    <row r="628" spans="1:19">
      <c r="A628" s="649" t="s">
        <v>2019</v>
      </c>
      <c r="B628" s="649" t="s">
        <v>2175</v>
      </c>
      <c r="C628" s="652">
        <v>16190.31</v>
      </c>
      <c r="D628" s="650">
        <v>16200</v>
      </c>
      <c r="E628" s="650">
        <v>1434.25</v>
      </c>
      <c r="F628" s="649">
        <v>0</v>
      </c>
      <c r="G628" s="649">
        <v>9.69</v>
      </c>
      <c r="H628" s="649">
        <v>0</v>
      </c>
      <c r="I628" s="649" t="s">
        <v>1625</v>
      </c>
      <c r="J628" s="649"/>
      <c r="K628" s="649"/>
      <c r="L628" s="651" t="s">
        <v>2140</v>
      </c>
      <c r="M628" s="651"/>
      <c r="N628" s="651"/>
      <c r="O628" s="651" t="s">
        <v>1827</v>
      </c>
      <c r="P628" s="651" t="s">
        <v>816</v>
      </c>
      <c r="Q628" s="651" t="s">
        <v>1074</v>
      </c>
      <c r="R628" s="651" t="s">
        <v>793</v>
      </c>
      <c r="S628" s="651"/>
    </row>
    <row r="629" spans="1:19">
      <c r="A629" s="649" t="s">
        <v>2020</v>
      </c>
      <c r="B629" s="649" t="s">
        <v>2175</v>
      </c>
      <c r="C629" s="652">
        <v>10885.6</v>
      </c>
      <c r="D629" s="650">
        <v>10900</v>
      </c>
      <c r="E629" s="650">
        <v>1166.9100000000001</v>
      </c>
      <c r="F629" s="649">
        <v>0</v>
      </c>
      <c r="G629" s="649">
        <v>14.4</v>
      </c>
      <c r="H629" s="649">
        <v>0</v>
      </c>
      <c r="I629" s="649" t="s">
        <v>1625</v>
      </c>
      <c r="J629" s="649"/>
      <c r="K629" s="649"/>
      <c r="L629" s="651" t="s">
        <v>2140</v>
      </c>
      <c r="M629" s="651"/>
      <c r="N629" s="651"/>
      <c r="O629" s="651" t="s">
        <v>2182</v>
      </c>
      <c r="P629" s="651" t="s">
        <v>816</v>
      </c>
      <c r="Q629" s="651" t="s">
        <v>1074</v>
      </c>
      <c r="R629" s="651" t="s">
        <v>128</v>
      </c>
      <c r="S629" s="651" t="s">
        <v>129</v>
      </c>
    </row>
    <row r="630" spans="1:19">
      <c r="A630" s="649" t="s">
        <v>2021</v>
      </c>
      <c r="B630" s="649" t="s">
        <v>2175</v>
      </c>
      <c r="C630" s="652">
        <v>726.4</v>
      </c>
      <c r="D630" s="650">
        <v>800</v>
      </c>
      <c r="E630" s="650">
        <v>60.8</v>
      </c>
      <c r="F630" s="649">
        <v>0</v>
      </c>
      <c r="G630" s="649">
        <v>73.599999999999994</v>
      </c>
      <c r="H630" s="649">
        <v>9</v>
      </c>
      <c r="I630" s="649" t="s">
        <v>1625</v>
      </c>
      <c r="J630" s="649"/>
      <c r="K630" s="649"/>
      <c r="L630" s="651" t="s">
        <v>2140</v>
      </c>
      <c r="M630" s="651"/>
      <c r="N630" s="651"/>
      <c r="O630" s="651" t="s">
        <v>2180</v>
      </c>
      <c r="P630" s="651" t="s">
        <v>2486</v>
      </c>
      <c r="Q630" s="651" t="s">
        <v>1074</v>
      </c>
      <c r="R630" s="651" t="s">
        <v>802</v>
      </c>
      <c r="S630" s="651"/>
    </row>
    <row r="631" spans="1:19">
      <c r="A631" s="649" t="s">
        <v>2022</v>
      </c>
      <c r="B631" s="649" t="s">
        <v>2175</v>
      </c>
      <c r="C631" s="652">
        <v>0</v>
      </c>
      <c r="D631" s="650">
        <v>282</v>
      </c>
      <c r="E631" s="650">
        <v>0</v>
      </c>
      <c r="F631" s="649">
        <v>0</v>
      </c>
      <c r="G631" s="649">
        <v>282</v>
      </c>
      <c r="H631" s="649">
        <v>100</v>
      </c>
      <c r="I631" s="649" t="s">
        <v>1625</v>
      </c>
      <c r="J631" s="649"/>
      <c r="K631" s="649"/>
      <c r="L631" s="651" t="s">
        <v>2142</v>
      </c>
      <c r="M631" s="651"/>
      <c r="N631" s="651"/>
      <c r="O631" s="651"/>
      <c r="P631" s="651" t="s">
        <v>819</v>
      </c>
      <c r="Q631" s="651" t="s">
        <v>132</v>
      </c>
      <c r="R631" s="651" t="s">
        <v>133</v>
      </c>
      <c r="S631" s="651"/>
    </row>
    <row r="632" spans="1:19">
      <c r="A632" s="649" t="s">
        <v>2023</v>
      </c>
      <c r="B632" s="649" t="s">
        <v>2175</v>
      </c>
      <c r="C632" s="652">
        <v>8122.36</v>
      </c>
      <c r="D632" s="650">
        <v>8200</v>
      </c>
      <c r="E632" s="650">
        <v>1765.01</v>
      </c>
      <c r="F632" s="649">
        <v>0</v>
      </c>
      <c r="G632" s="649">
        <v>77.64</v>
      </c>
      <c r="H632" s="649">
        <v>1</v>
      </c>
      <c r="I632" s="649" t="s">
        <v>1625</v>
      </c>
      <c r="J632" s="649"/>
      <c r="K632" s="649"/>
      <c r="L632" s="651" t="s">
        <v>2143</v>
      </c>
      <c r="M632" s="651"/>
      <c r="N632" s="651"/>
      <c r="O632" s="651"/>
      <c r="P632" s="651" t="s">
        <v>825</v>
      </c>
      <c r="Q632" s="651" t="s">
        <v>780</v>
      </c>
      <c r="R632" s="651" t="s">
        <v>826</v>
      </c>
      <c r="S632" s="651"/>
    </row>
    <row r="633" spans="1:19">
      <c r="A633" s="649" t="s">
        <v>2024</v>
      </c>
      <c r="B633" s="649" t="s">
        <v>2175</v>
      </c>
      <c r="C633" s="652">
        <v>26065.71</v>
      </c>
      <c r="D633" s="650">
        <v>26100</v>
      </c>
      <c r="E633" s="650">
        <v>-2342.08</v>
      </c>
      <c r="F633" s="649">
        <v>0</v>
      </c>
      <c r="G633" s="649">
        <v>34.29</v>
      </c>
      <c r="H633" s="649">
        <v>0</v>
      </c>
      <c r="I633" s="649" t="s">
        <v>1625</v>
      </c>
      <c r="J633" s="649"/>
      <c r="K633" s="649"/>
      <c r="L633" s="651" t="s">
        <v>2143</v>
      </c>
      <c r="M633" s="651"/>
      <c r="N633" s="651"/>
      <c r="O633" s="651"/>
      <c r="P633" s="651" t="s">
        <v>1764</v>
      </c>
      <c r="Q633" s="651" t="s">
        <v>780</v>
      </c>
      <c r="R633" s="651" t="s">
        <v>2025</v>
      </c>
      <c r="S633" s="651" t="s">
        <v>2026</v>
      </c>
    </row>
    <row r="634" spans="1:19">
      <c r="A634" s="649" t="s">
        <v>2027</v>
      </c>
      <c r="B634" s="649" t="s">
        <v>2175</v>
      </c>
      <c r="C634" s="652">
        <v>21541.09</v>
      </c>
      <c r="D634" s="650">
        <v>21600</v>
      </c>
      <c r="E634" s="650">
        <v>0</v>
      </c>
      <c r="F634" s="649">
        <v>0</v>
      </c>
      <c r="G634" s="649">
        <v>58.91</v>
      </c>
      <c r="H634" s="649">
        <v>0</v>
      </c>
      <c r="I634" s="649" t="s">
        <v>1625</v>
      </c>
      <c r="J634" s="649"/>
      <c r="K634" s="649"/>
      <c r="L634" s="651" t="s">
        <v>2143</v>
      </c>
      <c r="M634" s="651"/>
      <c r="N634" s="651"/>
      <c r="O634" s="651"/>
      <c r="P634" s="651" t="s">
        <v>750</v>
      </c>
      <c r="Q634" s="651" t="s">
        <v>137</v>
      </c>
      <c r="R634" s="651" t="s">
        <v>1074</v>
      </c>
      <c r="S634" s="651" t="s">
        <v>1908</v>
      </c>
    </row>
    <row r="635" spans="1:19">
      <c r="A635" s="649" t="s">
        <v>2028</v>
      </c>
      <c r="B635" s="649" t="s">
        <v>2175</v>
      </c>
      <c r="C635" s="652">
        <v>0</v>
      </c>
      <c r="D635" s="650">
        <v>857</v>
      </c>
      <c r="E635" s="650">
        <v>0</v>
      </c>
      <c r="F635" s="649">
        <v>0</v>
      </c>
      <c r="G635" s="649">
        <v>857</v>
      </c>
      <c r="H635" s="649">
        <v>100</v>
      </c>
      <c r="I635" s="649" t="s">
        <v>1625</v>
      </c>
      <c r="J635" s="649"/>
      <c r="K635" s="649"/>
      <c r="L635" s="651" t="s">
        <v>3447</v>
      </c>
      <c r="M635" s="651"/>
      <c r="N635" s="651"/>
      <c r="O635" s="651" t="s">
        <v>2144</v>
      </c>
      <c r="P635" s="651" t="s">
        <v>3241</v>
      </c>
      <c r="Q635" s="651" t="s">
        <v>828</v>
      </c>
      <c r="R635" s="651"/>
      <c r="S635" s="651"/>
    </row>
    <row r="636" spans="1:19" s="327" customFormat="1">
      <c r="A636" s="654" t="s">
        <v>2029</v>
      </c>
      <c r="B636" s="654" t="s">
        <v>2175</v>
      </c>
      <c r="C636" s="655">
        <v>0</v>
      </c>
      <c r="D636" s="656">
        <v>10194</v>
      </c>
      <c r="E636" s="656">
        <v>10000</v>
      </c>
      <c r="F636" s="654">
        <v>0</v>
      </c>
      <c r="G636" s="654">
        <v>194</v>
      </c>
      <c r="H636" s="654">
        <v>2</v>
      </c>
      <c r="I636" s="654" t="s">
        <v>1625</v>
      </c>
      <c r="J636" s="654"/>
      <c r="K636" s="654"/>
      <c r="L636" s="653" t="s">
        <v>3447</v>
      </c>
      <c r="M636" s="653"/>
      <c r="N636" s="653"/>
      <c r="O636" s="653" t="s">
        <v>2145</v>
      </c>
      <c r="P636" s="653" t="s">
        <v>3259</v>
      </c>
      <c r="Q636" s="653" t="s">
        <v>830</v>
      </c>
      <c r="R636" s="653"/>
      <c r="S636" s="653"/>
    </row>
    <row r="637" spans="1:19">
      <c r="A637" s="649" t="s">
        <v>2030</v>
      </c>
      <c r="B637" s="649" t="s">
        <v>2175</v>
      </c>
      <c r="C637" s="652">
        <v>132.15</v>
      </c>
      <c r="D637" s="650">
        <v>200</v>
      </c>
      <c r="E637" s="650">
        <v>0</v>
      </c>
      <c r="F637" s="649">
        <v>0</v>
      </c>
      <c r="G637" s="649">
        <v>67.849999999999994</v>
      </c>
      <c r="H637" s="649">
        <v>34</v>
      </c>
      <c r="I637" s="649" t="s">
        <v>1625</v>
      </c>
      <c r="J637" s="649"/>
      <c r="K637" s="649"/>
      <c r="L637" s="651" t="s">
        <v>2146</v>
      </c>
      <c r="M637" s="651"/>
      <c r="N637" s="651"/>
      <c r="O637" s="651"/>
      <c r="P637" s="651" t="s">
        <v>849</v>
      </c>
      <c r="Q637" s="651" t="s">
        <v>780</v>
      </c>
      <c r="R637" s="651" t="s">
        <v>850</v>
      </c>
      <c r="S637" s="651"/>
    </row>
    <row r="638" spans="1:19">
      <c r="A638" s="649" t="s">
        <v>2031</v>
      </c>
      <c r="B638" s="649" t="s">
        <v>2175</v>
      </c>
      <c r="C638" s="652">
        <v>4142.5200000000004</v>
      </c>
      <c r="D638" s="650">
        <v>4200</v>
      </c>
      <c r="E638" s="650">
        <v>300</v>
      </c>
      <c r="F638" s="649">
        <v>0</v>
      </c>
      <c r="G638" s="649">
        <v>57.48</v>
      </c>
      <c r="H638" s="649">
        <v>1</v>
      </c>
      <c r="I638" s="649" t="s">
        <v>1625</v>
      </c>
      <c r="J638" s="649"/>
      <c r="K638" s="649"/>
      <c r="L638" s="651" t="s">
        <v>2146</v>
      </c>
      <c r="M638" s="651"/>
      <c r="N638" s="651"/>
      <c r="O638" s="651"/>
      <c r="P638" s="651" t="s">
        <v>856</v>
      </c>
      <c r="Q638" s="651" t="s">
        <v>857</v>
      </c>
      <c r="R638" s="651"/>
      <c r="S638" s="651"/>
    </row>
    <row r="639" spans="1:19">
      <c r="A639" s="649" t="s">
        <v>2032</v>
      </c>
      <c r="B639" s="649" t="s">
        <v>2175</v>
      </c>
      <c r="C639" s="652">
        <v>45775.66</v>
      </c>
      <c r="D639" s="650">
        <v>46000</v>
      </c>
      <c r="E639" s="650">
        <v>30887.85</v>
      </c>
      <c r="F639" s="649">
        <v>0</v>
      </c>
      <c r="G639" s="649">
        <v>224.34</v>
      </c>
      <c r="H639" s="649">
        <v>0</v>
      </c>
      <c r="I639" s="649" t="s">
        <v>1625</v>
      </c>
      <c r="J639" s="649"/>
      <c r="K639" s="649"/>
      <c r="L639" s="651" t="s">
        <v>2146</v>
      </c>
      <c r="M639" s="651"/>
      <c r="N639" s="651"/>
      <c r="O639" s="651"/>
      <c r="P639" s="651" t="s">
        <v>865</v>
      </c>
      <c r="Q639" s="651" t="s">
        <v>1074</v>
      </c>
      <c r="R639" s="651" t="s">
        <v>3368</v>
      </c>
      <c r="S639" s="651"/>
    </row>
    <row r="640" spans="1:19">
      <c r="A640" s="649" t="s">
        <v>2033</v>
      </c>
      <c r="B640" s="649" t="s">
        <v>2175</v>
      </c>
      <c r="C640" s="652">
        <v>13232.54</v>
      </c>
      <c r="D640" s="650">
        <v>13300</v>
      </c>
      <c r="E640" s="650">
        <v>303.35000000000002</v>
      </c>
      <c r="F640" s="649">
        <v>0</v>
      </c>
      <c r="G640" s="649">
        <v>67.459999999999994</v>
      </c>
      <c r="H640" s="649">
        <v>1</v>
      </c>
      <c r="I640" s="649" t="s">
        <v>1625</v>
      </c>
      <c r="J640" s="649"/>
      <c r="K640" s="649"/>
      <c r="L640" s="651" t="s">
        <v>2146</v>
      </c>
      <c r="M640" s="651"/>
      <c r="N640" s="651"/>
      <c r="O640" s="651"/>
      <c r="P640" s="651" t="s">
        <v>3248</v>
      </c>
      <c r="Q640" s="651"/>
      <c r="R640" s="651"/>
      <c r="S640" s="651"/>
    </row>
    <row r="641" spans="1:19">
      <c r="A641" s="649" t="s">
        <v>2034</v>
      </c>
      <c r="B641" s="649" t="s">
        <v>2175</v>
      </c>
      <c r="C641" s="652">
        <v>1207.5</v>
      </c>
      <c r="D641" s="650">
        <v>1300</v>
      </c>
      <c r="E641" s="650">
        <v>0</v>
      </c>
      <c r="F641" s="649">
        <v>0</v>
      </c>
      <c r="G641" s="649">
        <v>92.5</v>
      </c>
      <c r="H641" s="649">
        <v>7</v>
      </c>
      <c r="I641" s="649" t="s">
        <v>1625</v>
      </c>
      <c r="J641" s="649"/>
      <c r="K641" s="649"/>
      <c r="L641" s="651" t="s">
        <v>2146</v>
      </c>
      <c r="M641" s="651"/>
      <c r="N641" s="651"/>
      <c r="O641" s="651"/>
      <c r="P641" s="651" t="s">
        <v>867</v>
      </c>
      <c r="Q641" s="651" t="s">
        <v>780</v>
      </c>
      <c r="R641" s="651" t="s">
        <v>868</v>
      </c>
      <c r="S641" s="651"/>
    </row>
    <row r="642" spans="1:19">
      <c r="A642" s="649" t="s">
        <v>2035</v>
      </c>
      <c r="B642" s="649" t="s">
        <v>2175</v>
      </c>
      <c r="C642" s="652">
        <v>6806.68</v>
      </c>
      <c r="D642" s="650">
        <v>7000</v>
      </c>
      <c r="E642" s="650">
        <v>1459.58</v>
      </c>
      <c r="F642" s="649">
        <v>0</v>
      </c>
      <c r="G642" s="649">
        <v>193.32</v>
      </c>
      <c r="H642" s="649">
        <v>3</v>
      </c>
      <c r="I642" s="649" t="s">
        <v>1625</v>
      </c>
      <c r="J642" s="649"/>
      <c r="K642" s="649"/>
      <c r="L642" s="651" t="s">
        <v>2146</v>
      </c>
      <c r="M642" s="651"/>
      <c r="N642" s="651"/>
      <c r="O642" s="651"/>
      <c r="P642" s="651" t="s">
        <v>878</v>
      </c>
      <c r="Q642" s="651" t="s">
        <v>780</v>
      </c>
      <c r="R642" s="651" t="s">
        <v>879</v>
      </c>
      <c r="S642" s="651"/>
    </row>
    <row r="643" spans="1:19">
      <c r="A643" s="649" t="s">
        <v>2036</v>
      </c>
      <c r="B643" s="649" t="s">
        <v>2175</v>
      </c>
      <c r="C643" s="652">
        <v>89070.49</v>
      </c>
      <c r="D643" s="650">
        <v>89100</v>
      </c>
      <c r="E643" s="650">
        <v>22773.75</v>
      </c>
      <c r="F643" s="649">
        <v>0</v>
      </c>
      <c r="G643" s="649">
        <v>29.51</v>
      </c>
      <c r="H643" s="649">
        <v>0</v>
      </c>
      <c r="I643" s="649" t="s">
        <v>1625</v>
      </c>
      <c r="J643" s="649"/>
      <c r="K643" s="649"/>
      <c r="L643" s="651" t="s">
        <v>2146</v>
      </c>
      <c r="M643" s="651"/>
      <c r="N643" s="651"/>
      <c r="O643" s="651"/>
      <c r="P643" s="651" t="s">
        <v>881</v>
      </c>
      <c r="Q643" s="651" t="s">
        <v>780</v>
      </c>
      <c r="R643" s="651" t="s">
        <v>882</v>
      </c>
      <c r="S643" s="651"/>
    </row>
    <row r="644" spans="1:19">
      <c r="A644" s="649" t="s">
        <v>2037</v>
      </c>
      <c r="B644" s="649" t="s">
        <v>2175</v>
      </c>
      <c r="C644" s="652">
        <v>4094.56</v>
      </c>
      <c r="D644" s="650">
        <v>4100</v>
      </c>
      <c r="E644" s="650">
        <v>0</v>
      </c>
      <c r="F644" s="649">
        <v>0</v>
      </c>
      <c r="G644" s="649">
        <v>5.44</v>
      </c>
      <c r="H644" s="649">
        <v>0</v>
      </c>
      <c r="I644" s="649" t="s">
        <v>1625</v>
      </c>
      <c r="J644" s="649"/>
      <c r="K644" s="649"/>
      <c r="L644" s="651" t="s">
        <v>2146</v>
      </c>
      <c r="M644" s="651"/>
      <c r="N644" s="651"/>
      <c r="O644" s="651"/>
      <c r="P644" s="651" t="s">
        <v>333</v>
      </c>
      <c r="Q644" s="651" t="s">
        <v>334</v>
      </c>
      <c r="R644" s="651"/>
      <c r="S644" s="651"/>
    </row>
    <row r="645" spans="1:19">
      <c r="A645" s="649" t="s">
        <v>2038</v>
      </c>
      <c r="B645" s="649" t="s">
        <v>2175</v>
      </c>
      <c r="C645" s="652">
        <v>104144.81</v>
      </c>
      <c r="D645" s="650">
        <v>105000</v>
      </c>
      <c r="E645" s="650">
        <v>9302.19</v>
      </c>
      <c r="F645" s="649">
        <v>0</v>
      </c>
      <c r="G645" s="649">
        <v>855.19</v>
      </c>
      <c r="H645" s="649">
        <v>1</v>
      </c>
      <c r="I645" s="649" t="s">
        <v>1625</v>
      </c>
      <c r="J645" s="649"/>
      <c r="K645" s="649"/>
      <c r="L645" s="651" t="s">
        <v>2146</v>
      </c>
      <c r="M645" s="651"/>
      <c r="N645" s="651"/>
      <c r="O645" s="651"/>
      <c r="P645" s="651" t="s">
        <v>63</v>
      </c>
      <c r="Q645" s="651" t="s">
        <v>780</v>
      </c>
      <c r="R645" s="651" t="s">
        <v>64</v>
      </c>
      <c r="S645" s="651"/>
    </row>
    <row r="646" spans="1:19">
      <c r="A646" s="649" t="s">
        <v>2039</v>
      </c>
      <c r="B646" s="649" t="s">
        <v>2175</v>
      </c>
      <c r="C646" s="652">
        <v>16452.77</v>
      </c>
      <c r="D646" s="650">
        <v>17000</v>
      </c>
      <c r="E646" s="650">
        <v>1428.85</v>
      </c>
      <c r="F646" s="649">
        <v>0</v>
      </c>
      <c r="G646" s="649">
        <v>547.23</v>
      </c>
      <c r="H646" s="649">
        <v>3</v>
      </c>
      <c r="I646" s="649" t="s">
        <v>1625</v>
      </c>
      <c r="J646" s="649"/>
      <c r="K646" s="649"/>
      <c r="L646" s="651" t="s">
        <v>2146</v>
      </c>
      <c r="M646" s="651"/>
      <c r="N646" s="651"/>
      <c r="O646" s="651"/>
      <c r="P646" s="651" t="s">
        <v>66</v>
      </c>
      <c r="Q646" s="651" t="s">
        <v>1074</v>
      </c>
      <c r="R646" s="651" t="s">
        <v>67</v>
      </c>
      <c r="S646" s="651"/>
    </row>
    <row r="647" spans="1:19">
      <c r="A647" s="649" t="s">
        <v>2040</v>
      </c>
      <c r="B647" s="649" t="s">
        <v>2175</v>
      </c>
      <c r="C647" s="652">
        <v>74365.289999999994</v>
      </c>
      <c r="D647" s="650">
        <v>74366</v>
      </c>
      <c r="E647" s="650">
        <v>6802.16</v>
      </c>
      <c r="F647" s="649">
        <v>0</v>
      </c>
      <c r="G647" s="649">
        <v>0.71</v>
      </c>
      <c r="H647" s="649">
        <v>0</v>
      </c>
      <c r="I647" s="649" t="s">
        <v>1625</v>
      </c>
      <c r="J647" s="649"/>
      <c r="K647" s="649"/>
      <c r="L647" s="651" t="s">
        <v>2146</v>
      </c>
      <c r="M647" s="651"/>
      <c r="N647" s="651"/>
      <c r="O647" s="651"/>
      <c r="P647" s="651" t="s">
        <v>66</v>
      </c>
      <c r="Q647" s="651" t="s">
        <v>1074</v>
      </c>
      <c r="R647" s="651" t="s">
        <v>69</v>
      </c>
      <c r="S647" s="651"/>
    </row>
    <row r="648" spans="1:19">
      <c r="A648" s="649" t="s">
        <v>2041</v>
      </c>
      <c r="B648" s="649" t="s">
        <v>2175</v>
      </c>
      <c r="C648" s="652">
        <v>1452.5</v>
      </c>
      <c r="D648" s="650">
        <v>3800</v>
      </c>
      <c r="E648" s="650">
        <v>0</v>
      </c>
      <c r="F648" s="649">
        <v>0</v>
      </c>
      <c r="G648" s="649">
        <v>2347.5</v>
      </c>
      <c r="H648" s="649">
        <v>62</v>
      </c>
      <c r="I648" s="649" t="s">
        <v>1625</v>
      </c>
      <c r="J648" s="649"/>
      <c r="K648" s="649"/>
      <c r="L648" s="651" t="s">
        <v>2146</v>
      </c>
      <c r="M648" s="651"/>
      <c r="N648" s="651"/>
      <c r="O648" s="651"/>
      <c r="P648" s="651" t="s">
        <v>2025</v>
      </c>
      <c r="Q648" s="651" t="s">
        <v>1190</v>
      </c>
      <c r="R648" s="651" t="s">
        <v>1191</v>
      </c>
      <c r="S648" s="651"/>
    </row>
    <row r="649" spans="1:19">
      <c r="A649" s="649" t="s">
        <v>1192</v>
      </c>
      <c r="B649" s="649" t="s">
        <v>2175</v>
      </c>
      <c r="C649" s="652">
        <v>0</v>
      </c>
      <c r="D649" s="650">
        <v>0</v>
      </c>
      <c r="E649" s="650">
        <v>0</v>
      </c>
      <c r="F649" s="649">
        <v>0</v>
      </c>
      <c r="G649" s="649">
        <v>0</v>
      </c>
      <c r="H649" s="649">
        <v>0</v>
      </c>
      <c r="I649" s="649" t="s">
        <v>1625</v>
      </c>
      <c r="J649" s="649"/>
      <c r="K649" s="649"/>
      <c r="L649" s="651" t="s">
        <v>2146</v>
      </c>
      <c r="M649" s="651"/>
      <c r="N649" s="651"/>
      <c r="O649" s="651"/>
      <c r="P649" s="651" t="s">
        <v>80</v>
      </c>
      <c r="Q649" s="651" t="s">
        <v>1882</v>
      </c>
      <c r="R649" s="651" t="s">
        <v>1193</v>
      </c>
      <c r="S649" s="651"/>
    </row>
    <row r="650" spans="1:19">
      <c r="A650" s="649" t="s">
        <v>1194</v>
      </c>
      <c r="B650" s="649" t="s">
        <v>2175</v>
      </c>
      <c r="C650" s="652">
        <v>174000</v>
      </c>
      <c r="D650" s="650">
        <v>174000</v>
      </c>
      <c r="E650" s="650">
        <v>174000</v>
      </c>
      <c r="F650" s="649">
        <v>0</v>
      </c>
      <c r="G650" s="649">
        <v>0</v>
      </c>
      <c r="H650" s="649">
        <v>0</v>
      </c>
      <c r="I650" s="649" t="s">
        <v>1625</v>
      </c>
      <c r="J650" s="649"/>
      <c r="K650" s="649"/>
      <c r="L650" s="651" t="s">
        <v>2146</v>
      </c>
      <c r="M650" s="651"/>
      <c r="N650" s="651"/>
      <c r="O650" s="651"/>
      <c r="P650" s="651" t="s">
        <v>1195</v>
      </c>
      <c r="Q650" s="651" t="s">
        <v>1196</v>
      </c>
      <c r="R650" s="651" t="s">
        <v>95</v>
      </c>
      <c r="S650" s="651" t="s">
        <v>1197</v>
      </c>
    </row>
    <row r="651" spans="1:19">
      <c r="A651" s="649" t="s">
        <v>1198</v>
      </c>
      <c r="B651" s="649" t="s">
        <v>2175</v>
      </c>
      <c r="C651" s="652">
        <v>0</v>
      </c>
      <c r="D651" s="650">
        <v>0</v>
      </c>
      <c r="E651" s="650">
        <v>0</v>
      </c>
      <c r="F651" s="649">
        <v>0</v>
      </c>
      <c r="G651" s="649">
        <v>0</v>
      </c>
      <c r="H651" s="649">
        <v>0</v>
      </c>
      <c r="I651" s="649" t="s">
        <v>1625</v>
      </c>
      <c r="J651" s="649"/>
      <c r="K651" s="649"/>
      <c r="L651" s="651" t="s">
        <v>2146</v>
      </c>
      <c r="M651" s="651"/>
      <c r="N651" s="651"/>
      <c r="O651" s="651" t="s">
        <v>2147</v>
      </c>
      <c r="P651" s="651" t="s">
        <v>1199</v>
      </c>
      <c r="Q651" s="651" t="s">
        <v>1200</v>
      </c>
      <c r="R651" s="651"/>
      <c r="S651" s="651"/>
    </row>
    <row r="652" spans="1:19">
      <c r="A652" s="649" t="s">
        <v>1201</v>
      </c>
      <c r="B652" s="649" t="s">
        <v>2175</v>
      </c>
      <c r="C652" s="652">
        <v>0</v>
      </c>
      <c r="D652" s="650">
        <v>0</v>
      </c>
      <c r="E652" s="650">
        <v>0</v>
      </c>
      <c r="F652" s="649">
        <v>0</v>
      </c>
      <c r="G652" s="649">
        <v>0</v>
      </c>
      <c r="H652" s="649">
        <v>0</v>
      </c>
      <c r="I652" s="649" t="s">
        <v>1625</v>
      </c>
      <c r="J652" s="649"/>
      <c r="K652" s="649"/>
      <c r="L652" s="651" t="s">
        <v>2146</v>
      </c>
      <c r="M652" s="651"/>
      <c r="N652" s="651"/>
      <c r="O652" s="651" t="s">
        <v>2147</v>
      </c>
      <c r="P652" s="651" t="s">
        <v>3258</v>
      </c>
      <c r="Q652" s="651"/>
      <c r="R652" s="651"/>
      <c r="S652" s="651"/>
    </row>
    <row r="653" spans="1:19">
      <c r="A653" s="649" t="s">
        <v>1202</v>
      </c>
      <c r="B653" s="649" t="s">
        <v>2175</v>
      </c>
      <c r="C653" s="652">
        <v>0</v>
      </c>
      <c r="D653" s="650">
        <v>0</v>
      </c>
      <c r="E653" s="650">
        <v>0</v>
      </c>
      <c r="F653" s="649">
        <v>0</v>
      </c>
      <c r="G653" s="649">
        <v>0</v>
      </c>
      <c r="H653" s="649">
        <v>0</v>
      </c>
      <c r="I653" s="649" t="s">
        <v>1625</v>
      </c>
      <c r="J653" s="649">
        <f>SUM(C617:C653)</f>
        <v>3025219.3100000005</v>
      </c>
      <c r="K653" s="649"/>
      <c r="L653" s="651" t="s">
        <v>2146</v>
      </c>
      <c r="M653" s="651"/>
      <c r="N653" s="651"/>
      <c r="O653" s="651" t="s">
        <v>2147</v>
      </c>
      <c r="P653" s="651" t="s">
        <v>484</v>
      </c>
      <c r="Q653" s="651" t="s">
        <v>2338</v>
      </c>
      <c r="R653" s="651" t="s">
        <v>810</v>
      </c>
      <c r="S653" s="651"/>
    </row>
    <row r="654" spans="1:19">
      <c r="A654" s="649"/>
      <c r="B654" s="649"/>
      <c r="C654" s="650"/>
      <c r="D654" s="650"/>
      <c r="E654" s="650"/>
      <c r="F654" s="649"/>
      <c r="G654" s="649"/>
      <c r="H654" s="649"/>
      <c r="I654" s="649"/>
      <c r="J654" s="649"/>
      <c r="K654" s="649"/>
      <c r="L654" s="651"/>
      <c r="M654" s="651"/>
      <c r="N654" s="651"/>
      <c r="O654" s="651"/>
      <c r="P654" s="651"/>
      <c r="Q654" s="651"/>
      <c r="R654" s="651"/>
      <c r="S654" s="651"/>
    </row>
    <row r="655" spans="1:19">
      <c r="A655" s="649"/>
      <c r="B655" s="649"/>
      <c r="C655" s="650">
        <f>SUM(C2:C653)</f>
        <v>-10889272.970000006</v>
      </c>
      <c r="D655" s="650"/>
      <c r="E655" s="650"/>
      <c r="F655" s="649"/>
      <c r="G655" s="649"/>
      <c r="H655" s="649"/>
      <c r="I655" s="649"/>
      <c r="J655" s="649">
        <f>SUM(J2:J653)</f>
        <v>63388565.459999993</v>
      </c>
      <c r="K655" s="649">
        <f>SUM(K2:K653)</f>
        <v>-74277838.429999992</v>
      </c>
      <c r="L655" s="651"/>
      <c r="M655" s="651"/>
      <c r="N655" s="651"/>
      <c r="O655" s="651"/>
      <c r="P655" s="651"/>
      <c r="Q655" s="651"/>
      <c r="R655" s="651"/>
      <c r="S655" s="651"/>
    </row>
    <row r="656" spans="1:19">
      <c r="C656" s="308">
        <v>7666459.5099999998</v>
      </c>
      <c r="J656" s="309">
        <f>+'Statement of Financial Performa'!F49</f>
        <v>10925289.24000001</v>
      </c>
      <c r="K656" s="309">
        <f>+'Statement of Financial Performa'!F27</f>
        <v>74277838.430000007</v>
      </c>
    </row>
    <row r="657" spans="1:19">
      <c r="C657" s="308">
        <f>SUM(C655:C656)</f>
        <v>-3222813.4600000065</v>
      </c>
      <c r="J657" s="309">
        <f>+J655+J656</f>
        <v>74313854.700000003</v>
      </c>
      <c r="K657" s="309">
        <f>+K655+K656</f>
        <v>0</v>
      </c>
    </row>
    <row r="658" spans="1:19" ht="18.75">
      <c r="A658" s="310" t="s">
        <v>1203</v>
      </c>
    </row>
    <row r="659" spans="1:19">
      <c r="A659" s="309" t="s">
        <v>1204</v>
      </c>
      <c r="C659" s="308">
        <v>-844777.61</v>
      </c>
      <c r="D659" s="308">
        <v>-1813856</v>
      </c>
      <c r="E659" s="308">
        <v>1715995.17</v>
      </c>
      <c r="F659" s="309">
        <v>0</v>
      </c>
      <c r="G659" s="309">
        <v>-969078.39</v>
      </c>
      <c r="H659" s="309">
        <v>53</v>
      </c>
      <c r="P659" s="648" t="s">
        <v>1924</v>
      </c>
      <c r="Q659" s="648" t="s">
        <v>1925</v>
      </c>
      <c r="R659" s="648" t="s">
        <v>1074</v>
      </c>
      <c r="S659" s="648" t="s">
        <v>1205</v>
      </c>
    </row>
    <row r="660" spans="1:19">
      <c r="A660" s="309" t="s">
        <v>1206</v>
      </c>
      <c r="C660" s="308">
        <v>21465.599999999999</v>
      </c>
      <c r="D660" s="308">
        <v>310500</v>
      </c>
      <c r="E660" s="308">
        <v>-5274.9</v>
      </c>
      <c r="F660" s="309">
        <v>0</v>
      </c>
      <c r="G660" s="309">
        <v>289034.40000000002</v>
      </c>
      <c r="H660" s="309">
        <v>93</v>
      </c>
      <c r="P660" s="648" t="s">
        <v>825</v>
      </c>
      <c r="Q660" s="648" t="s">
        <v>780</v>
      </c>
      <c r="R660" s="648" t="s">
        <v>826</v>
      </c>
    </row>
    <row r="661" spans="1:19">
      <c r="A661" s="309" t="s">
        <v>1207</v>
      </c>
      <c r="C661" s="308">
        <v>28038.16</v>
      </c>
      <c r="D661" s="308">
        <v>257500</v>
      </c>
      <c r="E661" s="308">
        <v>4862.8999999999996</v>
      </c>
      <c r="F661" s="309">
        <v>0</v>
      </c>
      <c r="G661" s="309">
        <v>229461.84</v>
      </c>
      <c r="H661" s="309">
        <v>89</v>
      </c>
      <c r="P661" s="648" t="s">
        <v>459</v>
      </c>
      <c r="Q661" s="648" t="s">
        <v>460</v>
      </c>
    </row>
    <row r="662" spans="1:19">
      <c r="A662" s="309" t="s">
        <v>1208</v>
      </c>
      <c r="C662" s="308">
        <v>20656.97</v>
      </c>
      <c r="D662" s="308">
        <v>43260</v>
      </c>
      <c r="E662" s="308">
        <v>0</v>
      </c>
      <c r="F662" s="309">
        <v>0</v>
      </c>
      <c r="G662" s="309">
        <v>22603.03</v>
      </c>
      <c r="H662" s="309">
        <v>52</v>
      </c>
      <c r="P662" s="648" t="s">
        <v>750</v>
      </c>
      <c r="Q662" s="648" t="s">
        <v>137</v>
      </c>
      <c r="R662" s="648" t="s">
        <v>1074</v>
      </c>
      <c r="S662" s="648" t="s">
        <v>278</v>
      </c>
    </row>
    <row r="663" spans="1:19">
      <c r="A663" s="309" t="s">
        <v>1209</v>
      </c>
      <c r="C663" s="308">
        <v>15843.92</v>
      </c>
      <c r="D663" s="308">
        <v>43260</v>
      </c>
      <c r="E663" s="308">
        <v>785</v>
      </c>
      <c r="F663" s="309">
        <v>0</v>
      </c>
      <c r="G663" s="309">
        <v>27416.080000000002</v>
      </c>
      <c r="H663" s="309">
        <v>63</v>
      </c>
      <c r="P663" s="648" t="s">
        <v>750</v>
      </c>
      <c r="Q663" s="648" t="s">
        <v>137</v>
      </c>
      <c r="R663" s="648" t="s">
        <v>1074</v>
      </c>
      <c r="S663" s="648" t="s">
        <v>1908</v>
      </c>
    </row>
    <row r="664" spans="1:19">
      <c r="A664" s="309" t="s">
        <v>1210</v>
      </c>
      <c r="C664" s="308">
        <v>0</v>
      </c>
      <c r="D664" s="308">
        <v>28840</v>
      </c>
      <c r="E664" s="308">
        <v>0</v>
      </c>
      <c r="F664" s="309">
        <v>0</v>
      </c>
      <c r="G664" s="309">
        <v>28840</v>
      </c>
      <c r="H664" s="309">
        <v>100</v>
      </c>
      <c r="P664" s="648" t="s">
        <v>849</v>
      </c>
      <c r="Q664" s="648" t="s">
        <v>780</v>
      </c>
      <c r="R664" s="648" t="s">
        <v>850</v>
      </c>
    </row>
    <row r="665" spans="1:19">
      <c r="A665" s="309" t="s">
        <v>1211</v>
      </c>
      <c r="C665" s="308">
        <v>174.57</v>
      </c>
      <c r="D665" s="308">
        <v>46350</v>
      </c>
      <c r="E665" s="308">
        <v>0</v>
      </c>
      <c r="F665" s="309">
        <v>0</v>
      </c>
      <c r="G665" s="309">
        <v>46175.43</v>
      </c>
      <c r="H665" s="309">
        <v>100</v>
      </c>
      <c r="P665" s="648" t="s">
        <v>856</v>
      </c>
      <c r="Q665" s="648" t="s">
        <v>857</v>
      </c>
    </row>
    <row r="666" spans="1:19">
      <c r="A666" s="309" t="s">
        <v>1212</v>
      </c>
      <c r="C666" s="308">
        <v>5890.62</v>
      </c>
      <c r="D666" s="308">
        <v>21630</v>
      </c>
      <c r="E666" s="308">
        <v>722.07</v>
      </c>
      <c r="F666" s="309">
        <v>0</v>
      </c>
      <c r="G666" s="309">
        <v>15739.38</v>
      </c>
      <c r="H666" s="309">
        <v>73</v>
      </c>
      <c r="P666" s="648" t="s">
        <v>865</v>
      </c>
      <c r="Q666" s="648" t="s">
        <v>1074</v>
      </c>
      <c r="R666" s="648" t="s">
        <v>3368</v>
      </c>
    </row>
    <row r="667" spans="1:19">
      <c r="A667" s="309" t="s">
        <v>1213</v>
      </c>
      <c r="C667" s="308">
        <v>0</v>
      </c>
      <c r="D667" s="308">
        <v>12394</v>
      </c>
      <c r="E667" s="308">
        <v>0</v>
      </c>
      <c r="F667" s="309">
        <v>0</v>
      </c>
      <c r="G667" s="309">
        <v>12394</v>
      </c>
      <c r="H667" s="309">
        <v>100</v>
      </c>
      <c r="P667" s="648" t="s">
        <v>3248</v>
      </c>
    </row>
    <row r="668" spans="1:19">
      <c r="A668" s="309" t="s">
        <v>1214</v>
      </c>
      <c r="C668" s="308">
        <v>2855</v>
      </c>
      <c r="D668" s="308">
        <v>4327</v>
      </c>
      <c r="E668" s="308">
        <v>0</v>
      </c>
      <c r="F668" s="309">
        <v>0</v>
      </c>
      <c r="G668" s="309">
        <v>1472</v>
      </c>
      <c r="H668" s="309">
        <v>34</v>
      </c>
      <c r="P668" s="648" t="s">
        <v>867</v>
      </c>
      <c r="Q668" s="648" t="s">
        <v>780</v>
      </c>
      <c r="R668" s="648" t="s">
        <v>868</v>
      </c>
    </row>
    <row r="669" spans="1:19">
      <c r="A669" s="309" t="s">
        <v>1215</v>
      </c>
      <c r="C669" s="308">
        <v>0</v>
      </c>
      <c r="D669" s="308">
        <v>154500</v>
      </c>
      <c r="E669" s="308">
        <v>0</v>
      </c>
      <c r="F669" s="309">
        <v>0</v>
      </c>
      <c r="G669" s="309">
        <v>154500</v>
      </c>
      <c r="H669" s="309">
        <v>100</v>
      </c>
      <c r="P669" s="648" t="s">
        <v>1216</v>
      </c>
    </row>
    <row r="670" spans="1:19">
      <c r="A670" s="309" t="s">
        <v>1217</v>
      </c>
      <c r="C670" s="308">
        <v>1289.31</v>
      </c>
      <c r="D670" s="308">
        <v>16223</v>
      </c>
      <c r="E670" s="308">
        <v>1289.31</v>
      </c>
      <c r="F670" s="309">
        <v>0</v>
      </c>
      <c r="G670" s="309">
        <v>14933.69</v>
      </c>
      <c r="H670" s="309">
        <v>92</v>
      </c>
      <c r="P670" s="648" t="s">
        <v>881</v>
      </c>
      <c r="Q670" s="648" t="s">
        <v>780</v>
      </c>
      <c r="R670" s="648" t="s">
        <v>882</v>
      </c>
    </row>
    <row r="671" spans="1:19">
      <c r="A671" s="309" t="s">
        <v>1218</v>
      </c>
      <c r="C671" s="308">
        <v>1620.3</v>
      </c>
      <c r="D671" s="308">
        <v>4867</v>
      </c>
      <c r="E671" s="308">
        <v>0</v>
      </c>
      <c r="F671" s="309">
        <v>0</v>
      </c>
      <c r="G671" s="309">
        <v>3246.7</v>
      </c>
      <c r="H671" s="309">
        <v>67</v>
      </c>
      <c r="P671" s="648" t="s">
        <v>333</v>
      </c>
      <c r="Q671" s="648" t="s">
        <v>334</v>
      </c>
    </row>
    <row r="672" spans="1:19">
      <c r="A672" s="309" t="s">
        <v>1219</v>
      </c>
      <c r="C672" s="308">
        <v>1860.01</v>
      </c>
      <c r="D672" s="308">
        <v>10815</v>
      </c>
      <c r="E672" s="308">
        <v>306.23</v>
      </c>
      <c r="F672" s="309">
        <v>0</v>
      </c>
      <c r="G672" s="309">
        <v>8954.99</v>
      </c>
      <c r="H672" s="309">
        <v>83</v>
      </c>
      <c r="P672" s="648" t="s">
        <v>66</v>
      </c>
      <c r="Q672" s="648" t="s">
        <v>1074</v>
      </c>
      <c r="R672" s="648" t="s">
        <v>67</v>
      </c>
    </row>
    <row r="673" spans="1:19">
      <c r="A673" s="309" t="s">
        <v>1220</v>
      </c>
      <c r="C673" s="308">
        <v>0</v>
      </c>
      <c r="D673" s="308">
        <v>14400</v>
      </c>
      <c r="E673" s="308">
        <v>701047.24</v>
      </c>
      <c r="F673" s="309">
        <v>0</v>
      </c>
      <c r="G673" s="309">
        <v>14400</v>
      </c>
      <c r="H673" s="309">
        <v>100</v>
      </c>
      <c r="P673" s="648" t="s">
        <v>66</v>
      </c>
      <c r="Q673" s="648" t="s">
        <v>1074</v>
      </c>
      <c r="R673" s="648" t="s">
        <v>69</v>
      </c>
    </row>
    <row r="674" spans="1:19">
      <c r="A674" s="309" t="s">
        <v>2047</v>
      </c>
      <c r="C674" s="308">
        <v>-1472199.21</v>
      </c>
      <c r="D674" s="308">
        <v>1223878</v>
      </c>
      <c r="E674" s="308">
        <v>-1580659.06</v>
      </c>
      <c r="F674" s="309">
        <v>0</v>
      </c>
      <c r="G674" s="309">
        <v>2696077.21</v>
      </c>
      <c r="H674" s="309">
        <v>220</v>
      </c>
      <c r="P674" s="648" t="s">
        <v>342</v>
      </c>
      <c r="Q674" s="648" t="s">
        <v>2048</v>
      </c>
    </row>
    <row r="675" spans="1:19">
      <c r="A675" s="309" t="s">
        <v>2049</v>
      </c>
      <c r="C675" s="308">
        <v>62451.92</v>
      </c>
      <c r="D675" s="308">
        <v>386000</v>
      </c>
      <c r="E675" s="308">
        <v>43913.9</v>
      </c>
      <c r="F675" s="309">
        <v>0</v>
      </c>
      <c r="G675" s="309">
        <v>323548.08</v>
      </c>
      <c r="H675" s="309">
        <v>84</v>
      </c>
      <c r="P675" s="648" t="s">
        <v>3254</v>
      </c>
      <c r="Q675" s="648" t="s">
        <v>1612</v>
      </c>
      <c r="R675" s="648" t="s">
        <v>2050</v>
      </c>
    </row>
    <row r="676" spans="1:19">
      <c r="A676" s="309" t="s">
        <v>2051</v>
      </c>
      <c r="C676" s="308">
        <v>0</v>
      </c>
      <c r="D676" s="308">
        <v>660000</v>
      </c>
      <c r="E676" s="308">
        <v>0</v>
      </c>
      <c r="F676" s="309">
        <v>0</v>
      </c>
      <c r="G676" s="309">
        <v>660000</v>
      </c>
      <c r="H676" s="309">
        <v>100</v>
      </c>
      <c r="P676" s="648" t="s">
        <v>3254</v>
      </c>
      <c r="Q676" s="648" t="s">
        <v>1612</v>
      </c>
      <c r="R676" s="648" t="s">
        <v>2050</v>
      </c>
    </row>
    <row r="677" spans="1:19">
      <c r="A677" s="309" t="s">
        <v>2052</v>
      </c>
      <c r="C677" s="308">
        <v>0</v>
      </c>
      <c r="D677" s="308">
        <v>-660000</v>
      </c>
      <c r="E677" s="308">
        <v>0</v>
      </c>
      <c r="F677" s="309">
        <v>0</v>
      </c>
      <c r="G677" s="309">
        <v>-660000</v>
      </c>
      <c r="H677" s="309">
        <v>100</v>
      </c>
      <c r="P677" s="648" t="s">
        <v>3254</v>
      </c>
      <c r="Q677" s="648" t="s">
        <v>1612</v>
      </c>
      <c r="R677" s="648" t="s">
        <v>2050</v>
      </c>
    </row>
    <row r="678" spans="1:19">
      <c r="A678" s="309" t="s">
        <v>2053</v>
      </c>
      <c r="C678" s="308">
        <v>0</v>
      </c>
      <c r="D678" s="308">
        <v>-386000</v>
      </c>
      <c r="E678" s="308">
        <v>0</v>
      </c>
      <c r="F678" s="309">
        <v>0</v>
      </c>
      <c r="G678" s="309">
        <v>-386000</v>
      </c>
      <c r="H678" s="309">
        <v>100</v>
      </c>
      <c r="P678" s="648" t="s">
        <v>3254</v>
      </c>
      <c r="Q678" s="648" t="s">
        <v>1612</v>
      </c>
      <c r="R678" s="648" t="s">
        <v>2050</v>
      </c>
    </row>
    <row r="679" spans="1:19">
      <c r="A679" s="309" t="s">
        <v>2054</v>
      </c>
      <c r="C679" s="308">
        <v>-8390025.7200000007</v>
      </c>
      <c r="D679" s="308">
        <v>-13972544</v>
      </c>
      <c r="E679" s="308">
        <v>3338974.69</v>
      </c>
      <c r="F679" s="309">
        <v>0</v>
      </c>
      <c r="G679" s="309">
        <v>-5582518.2800000003</v>
      </c>
      <c r="H679" s="309">
        <v>40</v>
      </c>
      <c r="P679" s="648" t="s">
        <v>1924</v>
      </c>
      <c r="Q679" s="648" t="s">
        <v>1925</v>
      </c>
      <c r="R679" s="648" t="s">
        <v>1074</v>
      </c>
      <c r="S679" s="648" t="s">
        <v>2055</v>
      </c>
    </row>
    <row r="680" spans="1:19">
      <c r="A680" s="309" t="s">
        <v>2056</v>
      </c>
      <c r="C680" s="308">
        <v>0</v>
      </c>
      <c r="D680" s="308">
        <v>-47278</v>
      </c>
      <c r="E680" s="308">
        <v>34567.589999999997</v>
      </c>
      <c r="F680" s="309">
        <v>0</v>
      </c>
      <c r="G680" s="309">
        <v>-47278</v>
      </c>
      <c r="H680" s="309">
        <v>100</v>
      </c>
      <c r="P680" s="648" t="s">
        <v>1924</v>
      </c>
      <c r="Q680" s="648" t="s">
        <v>1925</v>
      </c>
      <c r="R680" s="648" t="s">
        <v>1074</v>
      </c>
      <c r="S680" s="648" t="s">
        <v>2055</v>
      </c>
    </row>
    <row r="681" spans="1:19">
      <c r="A681" s="309" t="s">
        <v>2057</v>
      </c>
      <c r="C681" s="308">
        <v>0</v>
      </c>
      <c r="D681" s="308">
        <v>0</v>
      </c>
      <c r="E681" s="308">
        <v>0</v>
      </c>
      <c r="F681" s="309">
        <v>0</v>
      </c>
      <c r="G681" s="309">
        <v>0</v>
      </c>
      <c r="H681" s="309">
        <v>0</v>
      </c>
      <c r="P681" s="648" t="s">
        <v>1924</v>
      </c>
      <c r="Q681" s="648" t="s">
        <v>1925</v>
      </c>
      <c r="R681" s="648" t="s">
        <v>1074</v>
      </c>
      <c r="S681" s="648" t="s">
        <v>2055</v>
      </c>
    </row>
    <row r="682" spans="1:19">
      <c r="A682" s="309" t="s">
        <v>2058</v>
      </c>
      <c r="C682" s="308">
        <v>-620221.30000000005</v>
      </c>
      <c r="D682" s="308">
        <v>-1280711</v>
      </c>
      <c r="E682" s="308">
        <v>-47653.54</v>
      </c>
      <c r="F682" s="309">
        <v>0</v>
      </c>
      <c r="G682" s="309">
        <v>-660489.69999999995</v>
      </c>
      <c r="H682" s="309">
        <v>52</v>
      </c>
      <c r="P682" s="648" t="s">
        <v>1924</v>
      </c>
      <c r="Q682" s="648" t="s">
        <v>1925</v>
      </c>
      <c r="R682" s="648" t="s">
        <v>1074</v>
      </c>
      <c r="S682" s="648" t="s">
        <v>2055</v>
      </c>
    </row>
    <row r="683" spans="1:19">
      <c r="A683" s="309" t="s">
        <v>2059</v>
      </c>
      <c r="C683" s="308">
        <v>0</v>
      </c>
      <c r="D683" s="308">
        <v>0</v>
      </c>
      <c r="E683" s="308">
        <v>0</v>
      </c>
      <c r="F683" s="309">
        <v>0</v>
      </c>
      <c r="G683" s="309">
        <v>0</v>
      </c>
      <c r="H683" s="309">
        <v>0</v>
      </c>
      <c r="P683" s="648" t="s">
        <v>1924</v>
      </c>
      <c r="Q683" s="648" t="s">
        <v>1925</v>
      </c>
      <c r="R683" s="648" t="s">
        <v>1074</v>
      </c>
      <c r="S683" s="648" t="s">
        <v>2055</v>
      </c>
    </row>
    <row r="684" spans="1:19">
      <c r="A684" s="309" t="s">
        <v>2060</v>
      </c>
      <c r="C684" s="308">
        <v>-208817.34</v>
      </c>
      <c r="D684" s="308">
        <v>0</v>
      </c>
      <c r="E684" s="308">
        <v>-208817.34</v>
      </c>
      <c r="F684" s="309">
        <v>0</v>
      </c>
      <c r="G684" s="309">
        <v>208817.34</v>
      </c>
      <c r="H684" s="309">
        <v>9999</v>
      </c>
      <c r="P684" s="648" t="s">
        <v>2061</v>
      </c>
      <c r="Q684" s="648" t="s">
        <v>2062</v>
      </c>
    </row>
    <row r="685" spans="1:19">
      <c r="A685" s="309" t="s">
        <v>2063</v>
      </c>
      <c r="C685" s="308">
        <v>0</v>
      </c>
      <c r="D685" s="308">
        <v>0</v>
      </c>
      <c r="E685" s="308">
        <v>0</v>
      </c>
      <c r="F685" s="309">
        <v>0</v>
      </c>
      <c r="G685" s="309">
        <v>0</v>
      </c>
      <c r="H685" s="309">
        <v>0</v>
      </c>
      <c r="P685" s="648" t="s">
        <v>769</v>
      </c>
      <c r="Q685" s="648" t="s">
        <v>689</v>
      </c>
    </row>
    <row r="686" spans="1:19">
      <c r="A686" s="309" t="s">
        <v>2064</v>
      </c>
      <c r="C686" s="308">
        <v>4191400.13</v>
      </c>
      <c r="D686" s="308">
        <v>4324304</v>
      </c>
      <c r="E686" s="308">
        <v>2633685.21</v>
      </c>
      <c r="F686" s="309">
        <v>0</v>
      </c>
      <c r="G686" s="309">
        <v>132903.87</v>
      </c>
      <c r="H686" s="309">
        <v>3</v>
      </c>
      <c r="P686" s="648" t="s">
        <v>103</v>
      </c>
      <c r="Q686" s="648" t="s">
        <v>104</v>
      </c>
      <c r="R686" s="648" t="s">
        <v>1074</v>
      </c>
      <c r="S686" s="648" t="s">
        <v>105</v>
      </c>
    </row>
    <row r="687" spans="1:19">
      <c r="A687" s="309" t="s">
        <v>2065</v>
      </c>
      <c r="C687" s="308">
        <v>475797.19</v>
      </c>
      <c r="D687" s="308">
        <v>417541</v>
      </c>
      <c r="E687" s="308">
        <v>47325.99</v>
      </c>
      <c r="F687" s="309">
        <v>0</v>
      </c>
      <c r="G687" s="309">
        <v>-58256.19</v>
      </c>
      <c r="H687" s="309">
        <v>-14</v>
      </c>
      <c r="P687" s="648" t="s">
        <v>107</v>
      </c>
      <c r="Q687" s="648" t="s">
        <v>1074</v>
      </c>
      <c r="R687" s="648" t="s">
        <v>108</v>
      </c>
    </row>
    <row r="688" spans="1:19">
      <c r="A688" s="309" t="s">
        <v>2066</v>
      </c>
      <c r="C688" s="308">
        <v>140237.56</v>
      </c>
      <c r="D688" s="308">
        <v>300238</v>
      </c>
      <c r="E688" s="308">
        <v>3210.07</v>
      </c>
      <c r="F688" s="309">
        <v>0</v>
      </c>
      <c r="G688" s="309">
        <v>160000.44</v>
      </c>
      <c r="H688" s="309">
        <v>53</v>
      </c>
      <c r="P688" s="648" t="s">
        <v>77</v>
      </c>
      <c r="Q688" s="648" t="s">
        <v>110</v>
      </c>
      <c r="R688" s="648" t="s">
        <v>1074</v>
      </c>
      <c r="S688" s="648" t="s">
        <v>111</v>
      </c>
    </row>
    <row r="689" spans="1:19">
      <c r="A689" s="309" t="s">
        <v>2067</v>
      </c>
      <c r="C689" s="308">
        <v>142571.1</v>
      </c>
      <c r="D689" s="308">
        <v>177633</v>
      </c>
      <c r="E689" s="308">
        <v>10129.290000000001</v>
      </c>
      <c r="F689" s="309">
        <v>0</v>
      </c>
      <c r="G689" s="309">
        <v>35061.9</v>
      </c>
      <c r="H689" s="309">
        <v>20</v>
      </c>
      <c r="P689" s="648" t="s">
        <v>1959</v>
      </c>
      <c r="Q689" s="648" t="s">
        <v>805</v>
      </c>
    </row>
    <row r="690" spans="1:19">
      <c r="A690" s="309" t="s">
        <v>2068</v>
      </c>
      <c r="C690" s="308">
        <v>39600</v>
      </c>
      <c r="D690" s="308">
        <v>35572</v>
      </c>
      <c r="E690" s="308">
        <v>3300</v>
      </c>
      <c r="F690" s="309">
        <v>0</v>
      </c>
      <c r="G690" s="309">
        <v>-4028</v>
      </c>
      <c r="H690" s="309">
        <v>-11</v>
      </c>
      <c r="P690" s="648" t="s">
        <v>787</v>
      </c>
      <c r="Q690" s="648" t="s">
        <v>2069</v>
      </c>
    </row>
    <row r="691" spans="1:19">
      <c r="A691" s="309" t="s">
        <v>2070</v>
      </c>
      <c r="C691" s="308">
        <v>38703.760000000002</v>
      </c>
      <c r="D691" s="308">
        <v>17917</v>
      </c>
      <c r="E691" s="308">
        <v>6762.72</v>
      </c>
      <c r="F691" s="309">
        <v>0</v>
      </c>
      <c r="G691" s="309">
        <v>-20786.759999999998</v>
      </c>
      <c r="H691" s="309">
        <v>-116</v>
      </c>
      <c r="P691" s="648" t="s">
        <v>713</v>
      </c>
      <c r="Q691" s="648" t="s">
        <v>3445</v>
      </c>
      <c r="R691" s="648" t="s">
        <v>1074</v>
      </c>
    </row>
    <row r="692" spans="1:19">
      <c r="A692" s="309" t="s">
        <v>2071</v>
      </c>
      <c r="C692" s="308">
        <v>93786.13</v>
      </c>
      <c r="D692" s="308">
        <v>27283</v>
      </c>
      <c r="E692" s="308">
        <v>0</v>
      </c>
      <c r="F692" s="309">
        <v>0</v>
      </c>
      <c r="G692" s="309">
        <v>-66503.13</v>
      </c>
      <c r="H692" s="309">
        <v>-244</v>
      </c>
      <c r="P692" s="648" t="s">
        <v>915</v>
      </c>
      <c r="Q692" s="648" t="s">
        <v>114</v>
      </c>
      <c r="R692" s="648" t="s">
        <v>1074</v>
      </c>
      <c r="S692" s="648" t="s">
        <v>115</v>
      </c>
    </row>
    <row r="693" spans="1:19">
      <c r="A693" s="309" t="s">
        <v>2072</v>
      </c>
      <c r="C693" s="308">
        <v>4572</v>
      </c>
      <c r="D693" s="308">
        <v>45679</v>
      </c>
      <c r="E693" s="308">
        <v>0</v>
      </c>
      <c r="F693" s="309">
        <v>0</v>
      </c>
      <c r="G693" s="309">
        <v>41107</v>
      </c>
      <c r="H693" s="309">
        <v>90</v>
      </c>
      <c r="P693" s="648" t="s">
        <v>1101</v>
      </c>
      <c r="Q693" s="648" t="s">
        <v>805</v>
      </c>
    </row>
    <row r="694" spans="1:19">
      <c r="A694" s="309" t="s">
        <v>2073</v>
      </c>
      <c r="C694" s="308">
        <v>0</v>
      </c>
      <c r="D694" s="308">
        <v>211594</v>
      </c>
      <c r="E694" s="308">
        <v>0</v>
      </c>
      <c r="F694" s="309">
        <v>0</v>
      </c>
      <c r="G694" s="309">
        <v>211594</v>
      </c>
      <c r="H694" s="309">
        <v>100</v>
      </c>
      <c r="P694" s="648" t="s">
        <v>118</v>
      </c>
      <c r="Q694" s="648" t="s">
        <v>805</v>
      </c>
    </row>
    <row r="695" spans="1:19">
      <c r="A695" s="309" t="s">
        <v>2074</v>
      </c>
      <c r="C695" s="308">
        <v>19057.52</v>
      </c>
      <c r="D695" s="308">
        <v>419833</v>
      </c>
      <c r="E695" s="308">
        <v>0</v>
      </c>
      <c r="F695" s="309">
        <v>0</v>
      </c>
      <c r="G695" s="309">
        <v>400775.48</v>
      </c>
      <c r="H695" s="309">
        <v>95</v>
      </c>
      <c r="P695" s="648" t="s">
        <v>792</v>
      </c>
      <c r="Q695" s="648" t="s">
        <v>1074</v>
      </c>
      <c r="R695" s="648" t="s">
        <v>239</v>
      </c>
    </row>
    <row r="696" spans="1:19">
      <c r="A696" s="309" t="s">
        <v>2075</v>
      </c>
      <c r="C696" s="308">
        <v>370043.19</v>
      </c>
      <c r="D696" s="308">
        <v>787637</v>
      </c>
      <c r="E696" s="308">
        <v>30271.599999999999</v>
      </c>
      <c r="F696" s="309">
        <v>0</v>
      </c>
      <c r="G696" s="309">
        <v>417593.81</v>
      </c>
      <c r="H696" s="309">
        <v>53</v>
      </c>
      <c r="P696" s="648" t="s">
        <v>792</v>
      </c>
      <c r="Q696" s="648" t="s">
        <v>1074</v>
      </c>
      <c r="R696" s="648" t="s">
        <v>165</v>
      </c>
    </row>
    <row r="697" spans="1:19">
      <c r="A697" s="309" t="s">
        <v>2076</v>
      </c>
      <c r="C697" s="308">
        <v>24313.279999999999</v>
      </c>
      <c r="D697" s="308">
        <v>39148</v>
      </c>
      <c r="E697" s="308">
        <v>2071.63</v>
      </c>
      <c r="F697" s="309">
        <v>0</v>
      </c>
      <c r="G697" s="309">
        <v>14834.72</v>
      </c>
      <c r="H697" s="309">
        <v>38</v>
      </c>
      <c r="P697" s="648" t="s">
        <v>792</v>
      </c>
      <c r="Q697" s="648" t="s">
        <v>1074</v>
      </c>
      <c r="R697" s="648" t="s">
        <v>793</v>
      </c>
    </row>
    <row r="698" spans="1:19">
      <c r="A698" s="309" t="s">
        <v>2077</v>
      </c>
      <c r="C698" s="308">
        <v>10150.16</v>
      </c>
      <c r="D698" s="308">
        <v>71603</v>
      </c>
      <c r="E698" s="308">
        <v>817.3</v>
      </c>
      <c r="F698" s="309">
        <v>0</v>
      </c>
      <c r="G698" s="309">
        <v>61452.84</v>
      </c>
      <c r="H698" s="309">
        <v>86</v>
      </c>
      <c r="P698" s="648" t="s">
        <v>792</v>
      </c>
      <c r="Q698" s="648" t="s">
        <v>1074</v>
      </c>
      <c r="R698" s="648" t="s">
        <v>394</v>
      </c>
    </row>
    <row r="699" spans="1:19">
      <c r="A699" s="309" t="s">
        <v>2078</v>
      </c>
      <c r="C699" s="308">
        <v>1488</v>
      </c>
      <c r="D699" s="308">
        <v>2625</v>
      </c>
      <c r="E699" s="308">
        <v>124.8</v>
      </c>
      <c r="F699" s="309">
        <v>0</v>
      </c>
      <c r="G699" s="309">
        <v>1137</v>
      </c>
      <c r="H699" s="309">
        <v>43</v>
      </c>
      <c r="P699" s="648" t="s">
        <v>2486</v>
      </c>
      <c r="Q699" s="648" t="s">
        <v>1074</v>
      </c>
      <c r="R699" s="648" t="s">
        <v>802</v>
      </c>
    </row>
    <row r="700" spans="1:19">
      <c r="A700" s="309" t="s">
        <v>2079</v>
      </c>
      <c r="C700" s="308">
        <v>0</v>
      </c>
      <c r="D700" s="308">
        <v>2979463</v>
      </c>
      <c r="E700" s="308">
        <v>0</v>
      </c>
      <c r="F700" s="309">
        <v>0</v>
      </c>
      <c r="G700" s="309">
        <v>2979463</v>
      </c>
      <c r="H700" s="309">
        <v>100</v>
      </c>
      <c r="P700" s="648" t="s">
        <v>819</v>
      </c>
      <c r="Q700" s="648" t="s">
        <v>132</v>
      </c>
      <c r="R700" s="648" t="s">
        <v>2080</v>
      </c>
    </row>
    <row r="701" spans="1:19">
      <c r="A701" s="309" t="s">
        <v>2081</v>
      </c>
      <c r="C701" s="308">
        <v>403899.69</v>
      </c>
      <c r="D701" s="308">
        <v>576000</v>
      </c>
      <c r="E701" s="308">
        <v>361079.58</v>
      </c>
      <c r="F701" s="309">
        <v>0</v>
      </c>
      <c r="G701" s="309">
        <v>172100.31</v>
      </c>
      <c r="H701" s="309">
        <v>30</v>
      </c>
      <c r="P701" s="648" t="s">
        <v>825</v>
      </c>
      <c r="Q701" s="648" t="s">
        <v>780</v>
      </c>
      <c r="R701" s="648" t="s">
        <v>826</v>
      </c>
    </row>
    <row r="702" spans="1:19">
      <c r="A702" s="309" t="s">
        <v>2082</v>
      </c>
      <c r="C702" s="308">
        <v>521837.96</v>
      </c>
      <c r="D702" s="308">
        <v>1022300</v>
      </c>
      <c r="E702" s="308">
        <v>329080.01</v>
      </c>
      <c r="F702" s="309">
        <v>0</v>
      </c>
      <c r="G702" s="309">
        <v>500462.04</v>
      </c>
      <c r="H702" s="309">
        <v>49</v>
      </c>
      <c r="P702" s="648" t="s">
        <v>459</v>
      </c>
      <c r="Q702" s="648" t="s">
        <v>460</v>
      </c>
    </row>
    <row r="703" spans="1:19">
      <c r="A703" s="309" t="s">
        <v>2083</v>
      </c>
      <c r="C703" s="308">
        <v>6121.41</v>
      </c>
      <c r="D703" s="308">
        <v>82400</v>
      </c>
      <c r="E703" s="308">
        <v>1741.83</v>
      </c>
      <c r="F703" s="309">
        <v>0</v>
      </c>
      <c r="G703" s="309">
        <v>76278.59</v>
      </c>
      <c r="H703" s="309">
        <v>93</v>
      </c>
      <c r="P703" s="648" t="s">
        <v>750</v>
      </c>
      <c r="Q703" s="648" t="s">
        <v>137</v>
      </c>
      <c r="R703" s="648" t="s">
        <v>1074</v>
      </c>
      <c r="S703" s="648" t="s">
        <v>278</v>
      </c>
    </row>
    <row r="704" spans="1:19">
      <c r="A704" s="309" t="s">
        <v>2084</v>
      </c>
      <c r="C704" s="308">
        <v>135920.68</v>
      </c>
      <c r="D704" s="308">
        <v>151410</v>
      </c>
      <c r="E704" s="308">
        <v>77410.91</v>
      </c>
      <c r="F704" s="309">
        <v>0</v>
      </c>
      <c r="G704" s="309">
        <v>15489.32</v>
      </c>
      <c r="H704" s="309">
        <v>10</v>
      </c>
      <c r="P704" s="648" t="s">
        <v>750</v>
      </c>
      <c r="Q704" s="648" t="s">
        <v>137</v>
      </c>
      <c r="R704" s="648" t="s">
        <v>1074</v>
      </c>
      <c r="S704" s="648" t="s">
        <v>1908</v>
      </c>
    </row>
    <row r="705" spans="1:19">
      <c r="A705" s="309" t="s">
        <v>2085</v>
      </c>
      <c r="C705" s="308">
        <v>23016.75</v>
      </c>
      <c r="D705" s="308">
        <v>97000</v>
      </c>
      <c r="E705" s="308">
        <v>21352.74</v>
      </c>
      <c r="F705" s="309">
        <v>0</v>
      </c>
      <c r="G705" s="309">
        <v>73983.25</v>
      </c>
      <c r="H705" s="309">
        <v>76</v>
      </c>
      <c r="P705" s="648" t="s">
        <v>2086</v>
      </c>
      <c r="Q705" s="648" t="s">
        <v>780</v>
      </c>
      <c r="R705" s="648" t="s">
        <v>2087</v>
      </c>
      <c r="S705" s="648" t="s">
        <v>2088</v>
      </c>
    </row>
    <row r="706" spans="1:19">
      <c r="A706" s="309" t="s">
        <v>2089</v>
      </c>
      <c r="C706" s="308">
        <v>228428.12</v>
      </c>
      <c r="D706" s="308">
        <v>364816</v>
      </c>
      <c r="E706" s="308">
        <v>118913.2</v>
      </c>
      <c r="F706" s="309">
        <v>0</v>
      </c>
      <c r="G706" s="309">
        <v>136387.88</v>
      </c>
      <c r="H706" s="309">
        <v>37</v>
      </c>
      <c r="P706" s="648" t="s">
        <v>3241</v>
      </c>
      <c r="Q706" s="648" t="s">
        <v>828</v>
      </c>
    </row>
    <row r="707" spans="1:19">
      <c r="A707" s="309" t="s">
        <v>2090</v>
      </c>
      <c r="C707" s="308">
        <v>0</v>
      </c>
      <c r="D707" s="308">
        <v>0</v>
      </c>
      <c r="E707" s="308">
        <v>0</v>
      </c>
      <c r="F707" s="309">
        <v>0</v>
      </c>
      <c r="G707" s="309">
        <v>0</v>
      </c>
      <c r="H707" s="309">
        <v>0</v>
      </c>
      <c r="P707" s="648" t="s">
        <v>3259</v>
      </c>
    </row>
    <row r="708" spans="1:19">
      <c r="A708" s="309" t="s">
        <v>2091</v>
      </c>
      <c r="C708" s="308">
        <v>256444.29</v>
      </c>
      <c r="D708" s="308">
        <v>221810</v>
      </c>
      <c r="E708" s="308">
        <v>153489.07</v>
      </c>
      <c r="F708" s="309">
        <v>0</v>
      </c>
      <c r="G708" s="309">
        <v>-34634.29</v>
      </c>
      <c r="H708" s="309">
        <v>-16</v>
      </c>
      <c r="P708" s="648" t="s">
        <v>3259</v>
      </c>
      <c r="Q708" s="648" t="s">
        <v>830</v>
      </c>
    </row>
    <row r="709" spans="1:19">
      <c r="A709" s="309" t="s">
        <v>2092</v>
      </c>
      <c r="C709" s="308">
        <v>678239.47</v>
      </c>
      <c r="D709" s="308">
        <v>720000</v>
      </c>
      <c r="E709" s="308">
        <v>421050</v>
      </c>
      <c r="F709" s="309">
        <v>0</v>
      </c>
      <c r="G709" s="309">
        <v>41760.53</v>
      </c>
      <c r="H709" s="309">
        <v>6</v>
      </c>
      <c r="P709" s="648" t="s">
        <v>832</v>
      </c>
      <c r="Q709" s="648" t="s">
        <v>833</v>
      </c>
    </row>
    <row r="710" spans="1:19">
      <c r="A710" s="309" t="s">
        <v>2093</v>
      </c>
      <c r="C710" s="308">
        <v>421221.7</v>
      </c>
      <c r="D710" s="308">
        <v>250000</v>
      </c>
      <c r="E710" s="308">
        <v>421221.7</v>
      </c>
      <c r="F710" s="309">
        <v>0</v>
      </c>
      <c r="G710" s="309">
        <v>-171221.7</v>
      </c>
      <c r="H710" s="309">
        <v>-68</v>
      </c>
      <c r="P710" s="648" t="s">
        <v>158</v>
      </c>
      <c r="Q710" s="648" t="s">
        <v>777</v>
      </c>
    </row>
    <row r="711" spans="1:19">
      <c r="A711" s="309" t="s">
        <v>2094</v>
      </c>
      <c r="C711" s="308">
        <v>152312.39000000001</v>
      </c>
      <c r="D711" s="308">
        <v>125000</v>
      </c>
      <c r="E711" s="308">
        <v>152312.39000000001</v>
      </c>
      <c r="F711" s="309">
        <v>0</v>
      </c>
      <c r="G711" s="309">
        <v>-27312.39</v>
      </c>
      <c r="H711" s="309">
        <v>-22</v>
      </c>
      <c r="P711" s="648" t="s">
        <v>3426</v>
      </c>
      <c r="Q711" s="648" t="s">
        <v>324</v>
      </c>
    </row>
    <row r="712" spans="1:19">
      <c r="A712" s="309" t="s">
        <v>2095</v>
      </c>
      <c r="C712" s="308">
        <v>0</v>
      </c>
      <c r="D712" s="308">
        <v>16850</v>
      </c>
      <c r="E712" s="308">
        <v>0</v>
      </c>
      <c r="F712" s="309">
        <v>0</v>
      </c>
      <c r="G712" s="309">
        <v>16850</v>
      </c>
      <c r="H712" s="309">
        <v>100</v>
      </c>
      <c r="P712" s="648" t="s">
        <v>849</v>
      </c>
      <c r="Q712" s="648" t="s">
        <v>780</v>
      </c>
      <c r="R712" s="648" t="s">
        <v>850</v>
      </c>
    </row>
    <row r="713" spans="1:19">
      <c r="A713" s="309" t="s">
        <v>2096</v>
      </c>
      <c r="C713" s="308">
        <v>471463.39</v>
      </c>
      <c r="D713" s="308">
        <v>0</v>
      </c>
      <c r="E713" s="308">
        <v>471463.39</v>
      </c>
      <c r="F713" s="309">
        <v>0</v>
      </c>
      <c r="G713" s="309">
        <v>-471463.39</v>
      </c>
      <c r="H713" s="309">
        <v>-9999</v>
      </c>
      <c r="P713" s="648" t="s">
        <v>376</v>
      </c>
      <c r="Q713" s="648" t="s">
        <v>2097</v>
      </c>
    </row>
    <row r="714" spans="1:19">
      <c r="A714" s="309" t="s">
        <v>2098</v>
      </c>
      <c r="C714" s="308">
        <v>102611.9</v>
      </c>
      <c r="D714" s="308">
        <v>103000</v>
      </c>
      <c r="E714" s="308">
        <v>-300</v>
      </c>
      <c r="F714" s="309">
        <v>0</v>
      </c>
      <c r="G714" s="309">
        <v>388.1</v>
      </c>
      <c r="H714" s="309">
        <v>0</v>
      </c>
      <c r="P714" s="648" t="s">
        <v>856</v>
      </c>
      <c r="Q714" s="648" t="s">
        <v>857</v>
      </c>
    </row>
    <row r="715" spans="1:19">
      <c r="A715" s="309" t="s">
        <v>2099</v>
      </c>
      <c r="C715" s="308">
        <v>164677.06</v>
      </c>
      <c r="D715" s="308">
        <v>70297</v>
      </c>
      <c r="E715" s="308">
        <v>111758.38</v>
      </c>
      <c r="F715" s="309">
        <v>0</v>
      </c>
      <c r="G715" s="309">
        <v>-94380.06</v>
      </c>
      <c r="H715" s="309">
        <v>-134</v>
      </c>
      <c r="P715" s="648" t="s">
        <v>865</v>
      </c>
      <c r="Q715" s="648" t="s">
        <v>1074</v>
      </c>
      <c r="R715" s="648" t="s">
        <v>3368</v>
      </c>
    </row>
    <row r="716" spans="1:19">
      <c r="A716" s="309" t="s">
        <v>2100</v>
      </c>
      <c r="C716" s="308">
        <v>0</v>
      </c>
      <c r="D716" s="308">
        <v>37801</v>
      </c>
      <c r="E716" s="308">
        <v>0</v>
      </c>
      <c r="F716" s="309">
        <v>0</v>
      </c>
      <c r="G716" s="309">
        <v>37801</v>
      </c>
      <c r="H716" s="309">
        <v>100</v>
      </c>
      <c r="P716" s="648" t="s">
        <v>3248</v>
      </c>
    </row>
    <row r="717" spans="1:19">
      <c r="A717" s="309" t="s">
        <v>2101</v>
      </c>
      <c r="C717" s="308">
        <v>2808.09</v>
      </c>
      <c r="D717" s="308">
        <v>57695</v>
      </c>
      <c r="E717" s="308">
        <v>2808.09</v>
      </c>
      <c r="F717" s="309">
        <v>0</v>
      </c>
      <c r="G717" s="309">
        <v>54886.91</v>
      </c>
      <c r="H717" s="309">
        <v>95</v>
      </c>
      <c r="P717" s="648" t="s">
        <v>2280</v>
      </c>
      <c r="Q717" s="648" t="s">
        <v>2102</v>
      </c>
    </row>
    <row r="718" spans="1:19">
      <c r="A718" s="309" t="s">
        <v>2103</v>
      </c>
      <c r="C718" s="308">
        <v>2855</v>
      </c>
      <c r="D718" s="308">
        <v>10300</v>
      </c>
      <c r="E718" s="308">
        <v>0</v>
      </c>
      <c r="F718" s="309">
        <v>0</v>
      </c>
      <c r="G718" s="309">
        <v>7445</v>
      </c>
      <c r="H718" s="309">
        <v>72</v>
      </c>
      <c r="P718" s="648" t="s">
        <v>867</v>
      </c>
      <c r="Q718" s="648" t="s">
        <v>780</v>
      </c>
      <c r="R718" s="648" t="s">
        <v>868</v>
      </c>
    </row>
    <row r="719" spans="1:19">
      <c r="A719" s="309" t="s">
        <v>2104</v>
      </c>
      <c r="C719" s="308">
        <v>88836.84</v>
      </c>
      <c r="D719" s="308">
        <v>62000</v>
      </c>
      <c r="E719" s="308">
        <v>18302.13</v>
      </c>
      <c r="F719" s="309">
        <v>0</v>
      </c>
      <c r="G719" s="309">
        <v>-26836.84</v>
      </c>
      <c r="H719" s="309">
        <v>-43</v>
      </c>
      <c r="P719" s="648" t="s">
        <v>878</v>
      </c>
      <c r="Q719" s="648" t="s">
        <v>780</v>
      </c>
      <c r="R719" s="648" t="s">
        <v>879</v>
      </c>
    </row>
    <row r="720" spans="1:19">
      <c r="A720" s="309" t="s">
        <v>2105</v>
      </c>
      <c r="C720" s="308">
        <v>9211.39</v>
      </c>
      <c r="D720" s="308">
        <v>16223</v>
      </c>
      <c r="E720" s="308">
        <v>8000</v>
      </c>
      <c r="F720" s="309">
        <v>0</v>
      </c>
      <c r="G720" s="309">
        <v>7011.61</v>
      </c>
      <c r="H720" s="309">
        <v>43</v>
      </c>
      <c r="P720" s="648" t="s">
        <v>881</v>
      </c>
      <c r="Q720" s="648" t="s">
        <v>780</v>
      </c>
      <c r="R720" s="648" t="s">
        <v>882</v>
      </c>
    </row>
    <row r="721" spans="1:19">
      <c r="A721" s="309" t="s">
        <v>2106</v>
      </c>
      <c r="C721" s="308">
        <v>55312.03</v>
      </c>
      <c r="D721" s="308">
        <v>16223</v>
      </c>
      <c r="E721" s="308">
        <v>1689.5</v>
      </c>
      <c r="F721" s="309">
        <v>0</v>
      </c>
      <c r="G721" s="309">
        <v>-39089.03</v>
      </c>
      <c r="H721" s="309">
        <v>-241</v>
      </c>
      <c r="P721" s="648" t="s">
        <v>333</v>
      </c>
      <c r="Q721" s="648" t="s">
        <v>334</v>
      </c>
    </row>
    <row r="722" spans="1:19">
      <c r="A722" s="309" t="s">
        <v>2107</v>
      </c>
      <c r="C722" s="308">
        <v>0</v>
      </c>
      <c r="D722" s="308">
        <v>0</v>
      </c>
      <c r="E722" s="308">
        <v>0</v>
      </c>
      <c r="F722" s="309">
        <v>0</v>
      </c>
      <c r="G722" s="309">
        <v>0</v>
      </c>
      <c r="H722" s="309">
        <v>0</v>
      </c>
      <c r="P722" s="648" t="s">
        <v>2108</v>
      </c>
      <c r="Q722" s="648" t="s">
        <v>787</v>
      </c>
    </row>
    <row r="723" spans="1:19">
      <c r="A723" s="309" t="s">
        <v>2109</v>
      </c>
      <c r="C723" s="308">
        <v>0</v>
      </c>
      <c r="D723" s="308">
        <v>19200</v>
      </c>
      <c r="E723" s="308">
        <v>0</v>
      </c>
      <c r="F723" s="309">
        <v>0</v>
      </c>
      <c r="G723" s="309">
        <v>19200</v>
      </c>
      <c r="H723" s="309">
        <v>100</v>
      </c>
      <c r="P723" s="648" t="s">
        <v>63</v>
      </c>
      <c r="Q723" s="648" t="s">
        <v>780</v>
      </c>
      <c r="R723" s="648" t="s">
        <v>64</v>
      </c>
    </row>
    <row r="724" spans="1:19">
      <c r="A724" s="309" t="s">
        <v>2110</v>
      </c>
      <c r="C724" s="308">
        <v>0</v>
      </c>
      <c r="D724" s="308">
        <v>9330</v>
      </c>
      <c r="E724" s="308">
        <v>-1110.25</v>
      </c>
      <c r="F724" s="309">
        <v>0</v>
      </c>
      <c r="G724" s="309">
        <v>9330</v>
      </c>
      <c r="H724" s="309">
        <v>100</v>
      </c>
      <c r="P724" s="648" t="s">
        <v>66</v>
      </c>
      <c r="Q724" s="648" t="s">
        <v>1074</v>
      </c>
      <c r="R724" s="648" t="s">
        <v>67</v>
      </c>
    </row>
    <row r="725" spans="1:19">
      <c r="A725" s="309" t="s">
        <v>2111</v>
      </c>
      <c r="C725" s="308">
        <v>4678.1400000000003</v>
      </c>
      <c r="D725" s="308">
        <v>1581439</v>
      </c>
      <c r="E725" s="308">
        <v>483.5</v>
      </c>
      <c r="F725" s="309">
        <v>0</v>
      </c>
      <c r="G725" s="309">
        <v>1576760.86</v>
      </c>
      <c r="H725" s="309">
        <v>100</v>
      </c>
      <c r="P725" s="648" t="s">
        <v>66</v>
      </c>
      <c r="Q725" s="648" t="s">
        <v>1074</v>
      </c>
      <c r="R725" s="648" t="s">
        <v>69</v>
      </c>
    </row>
    <row r="726" spans="1:19">
      <c r="A726" s="309" t="s">
        <v>2112</v>
      </c>
      <c r="C726" s="308">
        <v>-300544.13</v>
      </c>
      <c r="D726" s="308">
        <v>463558</v>
      </c>
      <c r="E726" s="308">
        <v>-245197.16</v>
      </c>
      <c r="F726" s="309">
        <v>0</v>
      </c>
      <c r="G726" s="309">
        <v>764102.13</v>
      </c>
      <c r="H726" s="309">
        <v>165</v>
      </c>
      <c r="P726" s="648" t="s">
        <v>342</v>
      </c>
      <c r="Q726" s="648" t="s">
        <v>2048</v>
      </c>
    </row>
    <row r="727" spans="1:19">
      <c r="A727" s="309" t="s">
        <v>2113</v>
      </c>
      <c r="C727" s="308">
        <v>198876.14</v>
      </c>
      <c r="D727" s="308">
        <v>0</v>
      </c>
      <c r="E727" s="308">
        <v>71806.02</v>
      </c>
      <c r="F727" s="309">
        <v>0</v>
      </c>
      <c r="G727" s="309">
        <v>-198876.14</v>
      </c>
      <c r="H727" s="309">
        <v>-9999</v>
      </c>
      <c r="P727" s="648" t="s">
        <v>775</v>
      </c>
      <c r="Q727" s="648" t="s">
        <v>1074</v>
      </c>
      <c r="R727" s="648" t="s">
        <v>2295</v>
      </c>
    </row>
    <row r="728" spans="1:19">
      <c r="A728" s="309" t="s">
        <v>2114</v>
      </c>
      <c r="C728" s="308">
        <v>985502.46</v>
      </c>
      <c r="D728" s="308">
        <v>0</v>
      </c>
      <c r="E728" s="308">
        <v>985502.46</v>
      </c>
      <c r="F728" s="309">
        <v>0</v>
      </c>
      <c r="G728" s="309">
        <v>-985502.46</v>
      </c>
      <c r="H728" s="309">
        <v>-9999</v>
      </c>
      <c r="P728" s="648" t="s">
        <v>775</v>
      </c>
      <c r="Q728" s="648" t="s">
        <v>1074</v>
      </c>
      <c r="R728" s="648" t="s">
        <v>776</v>
      </c>
      <c r="S728" s="648" t="s">
        <v>2115</v>
      </c>
    </row>
    <row r="729" spans="1:19">
      <c r="A729" s="309" t="s">
        <v>2116</v>
      </c>
      <c r="C729" s="308">
        <v>4659.17</v>
      </c>
      <c r="D729" s="308">
        <v>154500</v>
      </c>
      <c r="E729" s="308">
        <v>1038.31</v>
      </c>
      <c r="F729" s="309">
        <v>0</v>
      </c>
      <c r="G729" s="309">
        <v>149840.82999999999</v>
      </c>
      <c r="H729" s="309">
        <v>97</v>
      </c>
      <c r="P729" s="648" t="s">
        <v>1216</v>
      </c>
    </row>
    <row r="730" spans="1:19">
      <c r="A730" s="309" t="s">
        <v>2117</v>
      </c>
      <c r="C730" s="308">
        <v>-2302981.2000000002</v>
      </c>
      <c r="D730" s="308">
        <v>500386</v>
      </c>
      <c r="E730" s="308">
        <v>0</v>
      </c>
      <c r="F730" s="309">
        <v>0</v>
      </c>
      <c r="G730" s="309">
        <v>2803367.2</v>
      </c>
      <c r="H730" s="309">
        <v>560</v>
      </c>
      <c r="P730" s="648" t="s">
        <v>345</v>
      </c>
      <c r="Q730" s="648" t="s">
        <v>103</v>
      </c>
      <c r="R730" s="648" t="s">
        <v>1612</v>
      </c>
    </row>
    <row r="731" spans="1:19">
      <c r="A731" s="309" t="s">
        <v>2118</v>
      </c>
      <c r="C731" s="308">
        <v>1234738.18</v>
      </c>
      <c r="D731" s="308">
        <v>1225000</v>
      </c>
      <c r="E731" s="308">
        <v>485852.36</v>
      </c>
      <c r="F731" s="309">
        <v>0</v>
      </c>
      <c r="G731" s="309">
        <v>-9738.18</v>
      </c>
      <c r="H731" s="309">
        <v>-1</v>
      </c>
      <c r="P731" s="648" t="s">
        <v>2119</v>
      </c>
      <c r="Q731" s="648" t="s">
        <v>2120</v>
      </c>
      <c r="R731" s="648" t="s">
        <v>2121</v>
      </c>
      <c r="S731" s="648" t="s">
        <v>3265</v>
      </c>
    </row>
    <row r="732" spans="1:19">
      <c r="A732" s="309" t="s">
        <v>3266</v>
      </c>
      <c r="C732" s="308">
        <v>569167.57999999996</v>
      </c>
      <c r="D732" s="308">
        <v>72000</v>
      </c>
      <c r="E732" s="308">
        <v>92165.26</v>
      </c>
      <c r="F732" s="309">
        <v>0</v>
      </c>
      <c r="G732" s="309">
        <v>-497167.58</v>
      </c>
      <c r="H732" s="309">
        <v>-691</v>
      </c>
      <c r="P732" s="648" t="s">
        <v>3267</v>
      </c>
      <c r="Q732" s="648" t="s">
        <v>3268</v>
      </c>
      <c r="R732" s="648" t="s">
        <v>3269</v>
      </c>
    </row>
    <row r="733" spans="1:19">
      <c r="A733" s="309" t="s">
        <v>3270</v>
      </c>
      <c r="C733" s="308">
        <v>100283.87</v>
      </c>
      <c r="D733" s="308">
        <v>473034</v>
      </c>
      <c r="E733" s="308">
        <v>100283.87</v>
      </c>
      <c r="F733" s="309">
        <v>0</v>
      </c>
      <c r="G733" s="309">
        <v>372750.13</v>
      </c>
      <c r="H733" s="309">
        <v>79</v>
      </c>
      <c r="P733" s="648" t="s">
        <v>792</v>
      </c>
      <c r="Q733" s="648" t="s">
        <v>3271</v>
      </c>
    </row>
    <row r="734" spans="1:19">
      <c r="A734" s="309" t="s">
        <v>3272</v>
      </c>
      <c r="C734" s="308">
        <v>0</v>
      </c>
      <c r="D734" s="308">
        <v>742000</v>
      </c>
      <c r="E734" s="308">
        <v>0</v>
      </c>
      <c r="F734" s="309">
        <v>0</v>
      </c>
      <c r="G734" s="309">
        <v>742000</v>
      </c>
      <c r="H734" s="309">
        <v>100</v>
      </c>
      <c r="P734" s="648" t="s">
        <v>1612</v>
      </c>
      <c r="Q734" s="648" t="s">
        <v>459</v>
      </c>
    </row>
    <row r="735" spans="1:19">
      <c r="A735" s="309" t="s">
        <v>3273</v>
      </c>
      <c r="C735" s="308">
        <v>0</v>
      </c>
      <c r="D735" s="308">
        <v>360000</v>
      </c>
      <c r="E735" s="308">
        <v>0</v>
      </c>
      <c r="F735" s="309">
        <v>0</v>
      </c>
      <c r="G735" s="309">
        <v>360000</v>
      </c>
      <c r="H735" s="309">
        <v>100</v>
      </c>
      <c r="P735" s="648" t="s">
        <v>1612</v>
      </c>
      <c r="Q735" s="648" t="s">
        <v>459</v>
      </c>
    </row>
    <row r="736" spans="1:19">
      <c r="A736" s="309" t="s">
        <v>3274</v>
      </c>
      <c r="C736" s="308">
        <v>0</v>
      </c>
      <c r="D736" s="308">
        <v>-360000</v>
      </c>
      <c r="E736" s="308">
        <v>0</v>
      </c>
      <c r="F736" s="309">
        <v>0</v>
      </c>
      <c r="G736" s="309">
        <v>-360000</v>
      </c>
      <c r="H736" s="309">
        <v>100</v>
      </c>
      <c r="P736" s="648" t="s">
        <v>1612</v>
      </c>
      <c r="Q736" s="648" t="s">
        <v>459</v>
      </c>
    </row>
    <row r="737" spans="1:17">
      <c r="A737" s="309" t="s">
        <v>3275</v>
      </c>
      <c r="C737" s="308">
        <v>0</v>
      </c>
      <c r="D737" s="308">
        <v>-742000</v>
      </c>
      <c r="E737" s="308">
        <v>0</v>
      </c>
      <c r="F737" s="309">
        <v>0</v>
      </c>
      <c r="G737" s="309">
        <v>-742000</v>
      </c>
      <c r="H737" s="309">
        <v>100</v>
      </c>
      <c r="P737" s="648" t="s">
        <v>1612</v>
      </c>
      <c r="Q737" s="648" t="s">
        <v>459</v>
      </c>
    </row>
    <row r="740" spans="1:17" ht="18.75">
      <c r="A740" s="310" t="s">
        <v>44</v>
      </c>
    </row>
    <row r="741" spans="1:17">
      <c r="A741" s="309" t="s">
        <v>3277</v>
      </c>
      <c r="C741" s="308">
        <v>0</v>
      </c>
      <c r="D741" s="308">
        <v>0</v>
      </c>
      <c r="E741" s="308">
        <v>0</v>
      </c>
      <c r="F741" s="309">
        <v>0</v>
      </c>
      <c r="G741" s="309">
        <v>0</v>
      </c>
      <c r="H741" s="309">
        <v>0</v>
      </c>
      <c r="I741" s="309" t="s">
        <v>1101</v>
      </c>
      <c r="L741" s="648" t="s">
        <v>3278</v>
      </c>
    </row>
    <row r="742" spans="1:17">
      <c r="A742" s="309" t="s">
        <v>3279</v>
      </c>
      <c r="C742" s="308">
        <v>0</v>
      </c>
      <c r="D742" s="308">
        <v>0</v>
      </c>
      <c r="E742" s="308">
        <v>0</v>
      </c>
      <c r="F742" s="309">
        <v>0</v>
      </c>
      <c r="G742" s="309">
        <v>0</v>
      </c>
      <c r="H742" s="309">
        <v>0</v>
      </c>
      <c r="I742" s="309" t="s">
        <v>3253</v>
      </c>
      <c r="L742" s="648" t="s">
        <v>3278</v>
      </c>
    </row>
    <row r="743" spans="1:17">
      <c r="A743" s="309" t="s">
        <v>3280</v>
      </c>
      <c r="C743" s="308">
        <v>0</v>
      </c>
      <c r="D743" s="308">
        <v>0</v>
      </c>
      <c r="E743" s="308">
        <v>0</v>
      </c>
      <c r="F743" s="309">
        <v>0</v>
      </c>
      <c r="G743" s="309">
        <v>0</v>
      </c>
      <c r="H743" s="309">
        <v>0</v>
      </c>
      <c r="I743" s="309" t="s">
        <v>3281</v>
      </c>
      <c r="L743" s="648" t="s">
        <v>3282</v>
      </c>
      <c r="O743" s="648" t="s">
        <v>3283</v>
      </c>
    </row>
    <row r="744" spans="1:17">
      <c r="A744" s="309" t="s">
        <v>3284</v>
      </c>
      <c r="C744" s="308">
        <v>0</v>
      </c>
      <c r="D744" s="308">
        <v>0</v>
      </c>
      <c r="E744" s="308">
        <v>0</v>
      </c>
      <c r="F744" s="309">
        <v>0</v>
      </c>
      <c r="G744" s="309">
        <v>0</v>
      </c>
      <c r="H744" s="309">
        <v>0</v>
      </c>
      <c r="I744" s="309" t="s">
        <v>3248</v>
      </c>
      <c r="L744" s="648" t="s">
        <v>3276</v>
      </c>
    </row>
    <row r="745" spans="1:17">
      <c r="A745" s="309" t="s">
        <v>3285</v>
      </c>
      <c r="C745" s="308">
        <v>0</v>
      </c>
      <c r="D745" s="308">
        <v>0</v>
      </c>
      <c r="E745" s="308">
        <v>0</v>
      </c>
      <c r="F745" s="309">
        <v>0</v>
      </c>
      <c r="G745" s="309">
        <v>0</v>
      </c>
      <c r="H745" s="309">
        <v>0</v>
      </c>
      <c r="I745" s="309" t="s">
        <v>3253</v>
      </c>
      <c r="L745" s="648" t="s">
        <v>3286</v>
      </c>
      <c r="O745" s="648" t="s">
        <v>3287</v>
      </c>
    </row>
    <row r="746" spans="1:17">
      <c r="A746" s="309" t="s">
        <v>3288</v>
      </c>
      <c r="C746" s="308">
        <v>0</v>
      </c>
      <c r="D746" s="308">
        <v>0</v>
      </c>
      <c r="E746" s="308">
        <v>0</v>
      </c>
      <c r="F746" s="309">
        <v>0</v>
      </c>
      <c r="G746" s="309">
        <v>0</v>
      </c>
      <c r="H746" s="309">
        <v>0</v>
      </c>
      <c r="I746" s="309" t="s">
        <v>3289</v>
      </c>
      <c r="L746" s="648" t="s">
        <v>2335</v>
      </c>
      <c r="O746" s="648" t="s">
        <v>3290</v>
      </c>
    </row>
    <row r="747" spans="1:17">
      <c r="A747" s="309" t="s">
        <v>3291</v>
      </c>
      <c r="C747" s="308">
        <v>152212</v>
      </c>
      <c r="D747" s="308">
        <v>0</v>
      </c>
      <c r="E747" s="308">
        <v>152212</v>
      </c>
      <c r="F747" s="309">
        <v>0</v>
      </c>
      <c r="G747" s="309">
        <v>-152212</v>
      </c>
      <c r="H747" s="309">
        <v>-9999</v>
      </c>
      <c r="I747" s="309" t="s">
        <v>915</v>
      </c>
      <c r="L747" s="648" t="s">
        <v>1241</v>
      </c>
    </row>
    <row r="748" spans="1:17">
      <c r="A748" s="309" t="s">
        <v>3292</v>
      </c>
      <c r="C748" s="308">
        <v>0</v>
      </c>
      <c r="D748" s="308">
        <v>0</v>
      </c>
      <c r="E748" s="308">
        <v>0</v>
      </c>
      <c r="F748" s="309">
        <v>0</v>
      </c>
      <c r="G748" s="309">
        <v>0</v>
      </c>
      <c r="H748" s="309">
        <v>0</v>
      </c>
      <c r="I748" s="309" t="s">
        <v>3293</v>
      </c>
      <c r="L748" s="648" t="s">
        <v>3294</v>
      </c>
    </row>
    <row r="749" spans="1:17">
      <c r="A749" s="309" t="s">
        <v>3295</v>
      </c>
      <c r="C749" s="308">
        <v>0</v>
      </c>
      <c r="D749" s="308">
        <v>0</v>
      </c>
      <c r="E749" s="308">
        <v>0</v>
      </c>
      <c r="F749" s="309">
        <v>0</v>
      </c>
      <c r="G749" s="309">
        <v>0</v>
      </c>
      <c r="H749" s="309">
        <v>0</v>
      </c>
      <c r="I749" s="309" t="s">
        <v>3296</v>
      </c>
      <c r="L749" s="648" t="s">
        <v>836</v>
      </c>
    </row>
    <row r="750" spans="1:17">
      <c r="A750" s="309" t="s">
        <v>3297</v>
      </c>
      <c r="C750" s="308">
        <v>-201980.16</v>
      </c>
      <c r="D750" s="308">
        <v>0</v>
      </c>
      <c r="E750" s="308">
        <v>-201980.16</v>
      </c>
      <c r="F750" s="309">
        <v>0</v>
      </c>
      <c r="G750" s="309">
        <v>201980.16</v>
      </c>
      <c r="H750" s="309">
        <v>9999</v>
      </c>
      <c r="I750" s="309" t="s">
        <v>3298</v>
      </c>
      <c r="L750" s="648" t="s">
        <v>3299</v>
      </c>
    </row>
    <row r="751" spans="1:17">
      <c r="A751" s="309" t="s">
        <v>3300</v>
      </c>
      <c r="C751" s="308">
        <v>0</v>
      </c>
      <c r="D751" s="308">
        <v>0</v>
      </c>
      <c r="E751" s="308">
        <v>0</v>
      </c>
      <c r="F751" s="309">
        <v>0</v>
      </c>
      <c r="G751" s="309">
        <v>0</v>
      </c>
      <c r="H751" s="309">
        <v>0</v>
      </c>
      <c r="I751" s="309" t="s">
        <v>2862</v>
      </c>
      <c r="L751" s="648" t="s">
        <v>3301</v>
      </c>
    </row>
    <row r="752" spans="1:17">
      <c r="A752" s="309" t="s">
        <v>3302</v>
      </c>
      <c r="C752" s="308">
        <v>0</v>
      </c>
      <c r="D752" s="308">
        <v>0</v>
      </c>
      <c r="E752" s="308">
        <v>0</v>
      </c>
      <c r="F752" s="309">
        <v>0</v>
      </c>
      <c r="G752" s="309">
        <v>0</v>
      </c>
      <c r="H752" s="309">
        <v>0</v>
      </c>
      <c r="I752" s="309" t="s">
        <v>3248</v>
      </c>
      <c r="L752" s="648" t="s">
        <v>3276</v>
      </c>
    </row>
    <row r="753" spans="1:16">
      <c r="A753" s="309" t="s">
        <v>3303</v>
      </c>
      <c r="C753" s="308">
        <v>0</v>
      </c>
      <c r="D753" s="308">
        <v>0</v>
      </c>
      <c r="E753" s="308">
        <v>0</v>
      </c>
      <c r="F753" s="309">
        <v>0</v>
      </c>
      <c r="G753" s="309">
        <v>0</v>
      </c>
      <c r="H753" s="309">
        <v>0</v>
      </c>
      <c r="I753" s="309" t="s">
        <v>3304</v>
      </c>
      <c r="L753" s="648" t="s">
        <v>3305</v>
      </c>
    </row>
    <row r="754" spans="1:16">
      <c r="A754" s="309" t="s">
        <v>3306</v>
      </c>
      <c r="C754" s="308">
        <v>6074211.4800000004</v>
      </c>
      <c r="D754" s="308">
        <v>0</v>
      </c>
      <c r="E754" s="308">
        <v>1492019.87</v>
      </c>
      <c r="F754" s="309">
        <v>0</v>
      </c>
      <c r="G754" s="309">
        <v>-6074211.4800000004</v>
      </c>
      <c r="H754" s="309">
        <v>-9999</v>
      </c>
      <c r="I754" s="309" t="s">
        <v>3307</v>
      </c>
      <c r="L754" s="648" t="s">
        <v>780</v>
      </c>
      <c r="O754" s="648" t="s">
        <v>3308</v>
      </c>
      <c r="P754" s="648" t="s">
        <v>3309</v>
      </c>
    </row>
    <row r="755" spans="1:16">
      <c r="A755" s="309" t="s">
        <v>3310</v>
      </c>
      <c r="C755" s="308">
        <v>-603.88</v>
      </c>
      <c r="D755" s="308">
        <v>0</v>
      </c>
      <c r="E755" s="308">
        <v>0</v>
      </c>
      <c r="F755" s="309">
        <v>0</v>
      </c>
      <c r="G755" s="309">
        <v>603.88</v>
      </c>
      <c r="H755" s="309">
        <v>9999</v>
      </c>
      <c r="I755" s="309" t="s">
        <v>176</v>
      </c>
      <c r="L755" s="648" t="s">
        <v>3588</v>
      </c>
      <c r="O755" s="648" t="s">
        <v>3311</v>
      </c>
    </row>
    <row r="756" spans="1:16">
      <c r="A756" s="309" t="s">
        <v>3312</v>
      </c>
      <c r="C756" s="308">
        <v>0</v>
      </c>
      <c r="D756" s="308">
        <v>0</v>
      </c>
      <c r="E756" s="308">
        <v>5000</v>
      </c>
      <c r="F756" s="309">
        <v>0</v>
      </c>
      <c r="G756" s="309">
        <v>0</v>
      </c>
      <c r="H756" s="309">
        <v>0</v>
      </c>
      <c r="I756" s="309" t="s">
        <v>176</v>
      </c>
      <c r="L756" s="648" t="s">
        <v>3313</v>
      </c>
      <c r="O756" s="648" t="s">
        <v>76</v>
      </c>
    </row>
    <row r="757" spans="1:16">
      <c r="A757" s="309" t="s">
        <v>3314</v>
      </c>
      <c r="C757" s="308">
        <v>0</v>
      </c>
      <c r="D757" s="308">
        <v>0</v>
      </c>
      <c r="E757" s="308">
        <v>0</v>
      </c>
      <c r="F757" s="309">
        <v>0</v>
      </c>
      <c r="G757" s="309">
        <v>0</v>
      </c>
      <c r="H757" s="309">
        <v>0</v>
      </c>
      <c r="I757" s="309" t="s">
        <v>176</v>
      </c>
      <c r="L757" s="648" t="s">
        <v>3313</v>
      </c>
      <c r="O757" s="648" t="s">
        <v>76</v>
      </c>
    </row>
    <row r="758" spans="1:16">
      <c r="A758" s="309" t="s">
        <v>2918</v>
      </c>
      <c r="C758" s="308">
        <v>131578.95000000001</v>
      </c>
      <c r="D758" s="308">
        <v>0</v>
      </c>
      <c r="E758" s="308">
        <v>0</v>
      </c>
      <c r="F758" s="309">
        <v>0</v>
      </c>
      <c r="G758" s="309">
        <v>-131578.95000000001</v>
      </c>
      <c r="H758" s="309">
        <v>-9999</v>
      </c>
      <c r="I758" s="309" t="s">
        <v>176</v>
      </c>
      <c r="L758" s="648" t="s">
        <v>3313</v>
      </c>
      <c r="O758" s="648" t="s">
        <v>76</v>
      </c>
    </row>
    <row r="759" spans="1:16">
      <c r="A759" s="309" t="s">
        <v>2919</v>
      </c>
      <c r="C759" s="308">
        <v>0</v>
      </c>
      <c r="D759" s="308">
        <v>0</v>
      </c>
      <c r="E759" s="308">
        <v>0</v>
      </c>
      <c r="F759" s="309">
        <v>0</v>
      </c>
      <c r="G759" s="309">
        <v>0</v>
      </c>
      <c r="H759" s="309">
        <v>0</v>
      </c>
      <c r="I759" s="309" t="s">
        <v>176</v>
      </c>
      <c r="L759" s="648" t="s">
        <v>3313</v>
      </c>
      <c r="O759" s="648" t="s">
        <v>76</v>
      </c>
    </row>
    <row r="760" spans="1:16">
      <c r="A760" s="309" t="s">
        <v>2920</v>
      </c>
      <c r="C760" s="308">
        <v>0</v>
      </c>
      <c r="D760" s="308">
        <v>0</v>
      </c>
      <c r="E760" s="308">
        <v>0</v>
      </c>
      <c r="F760" s="309">
        <v>0</v>
      </c>
      <c r="G760" s="309">
        <v>0</v>
      </c>
      <c r="H760" s="309">
        <v>0</v>
      </c>
      <c r="I760" s="309" t="s">
        <v>176</v>
      </c>
      <c r="L760" s="648" t="s">
        <v>3313</v>
      </c>
      <c r="O760" s="648" t="s">
        <v>76</v>
      </c>
    </row>
    <row r="761" spans="1:16">
      <c r="A761" s="309" t="s">
        <v>2921</v>
      </c>
      <c r="C761" s="308">
        <v>0</v>
      </c>
      <c r="D761" s="308">
        <v>0</v>
      </c>
      <c r="E761" s="308">
        <v>0</v>
      </c>
      <c r="F761" s="309">
        <v>0</v>
      </c>
      <c r="G761" s="309">
        <v>0</v>
      </c>
      <c r="H761" s="309">
        <v>0</v>
      </c>
      <c r="I761" s="309" t="s">
        <v>176</v>
      </c>
      <c r="L761" s="648" t="s">
        <v>3313</v>
      </c>
      <c r="O761" s="648" t="s">
        <v>76</v>
      </c>
    </row>
    <row r="762" spans="1:16">
      <c r="A762" s="309" t="s">
        <v>2922</v>
      </c>
      <c r="C762" s="308">
        <v>0</v>
      </c>
      <c r="D762" s="308">
        <v>0</v>
      </c>
      <c r="E762" s="308">
        <v>0</v>
      </c>
      <c r="F762" s="309">
        <v>0</v>
      </c>
      <c r="G762" s="309">
        <v>0</v>
      </c>
      <c r="H762" s="309">
        <v>0</v>
      </c>
      <c r="I762" s="309" t="s">
        <v>176</v>
      </c>
      <c r="L762" s="648" t="s">
        <v>3313</v>
      </c>
      <c r="O762" s="648" t="s">
        <v>76</v>
      </c>
    </row>
    <row r="763" spans="1:16">
      <c r="A763" s="309" t="s">
        <v>2923</v>
      </c>
      <c r="C763" s="308">
        <v>27555.78</v>
      </c>
      <c r="D763" s="308">
        <v>0</v>
      </c>
      <c r="E763" s="308">
        <v>0</v>
      </c>
      <c r="F763" s="309">
        <v>0</v>
      </c>
      <c r="G763" s="309">
        <v>-27555.78</v>
      </c>
      <c r="H763" s="309">
        <v>-9999</v>
      </c>
      <c r="I763" s="309" t="s">
        <v>176</v>
      </c>
      <c r="L763" s="648" t="s">
        <v>3313</v>
      </c>
      <c r="O763" s="648" t="s">
        <v>76</v>
      </c>
    </row>
    <row r="764" spans="1:16">
      <c r="A764" s="309" t="s">
        <v>2924</v>
      </c>
      <c r="C764" s="308">
        <v>0</v>
      </c>
      <c r="D764" s="308">
        <v>0</v>
      </c>
      <c r="E764" s="308">
        <v>0</v>
      </c>
      <c r="F764" s="309">
        <v>0</v>
      </c>
      <c r="G764" s="309">
        <v>0</v>
      </c>
      <c r="H764" s="309">
        <v>0</v>
      </c>
      <c r="I764" s="309" t="s">
        <v>176</v>
      </c>
      <c r="L764" s="648" t="s">
        <v>3313</v>
      </c>
      <c r="O764" s="648" t="s">
        <v>76</v>
      </c>
    </row>
    <row r="765" spans="1:16">
      <c r="A765" s="309" t="s">
        <v>2925</v>
      </c>
      <c r="C765" s="308">
        <v>0</v>
      </c>
      <c r="D765" s="308">
        <v>0</v>
      </c>
      <c r="E765" s="308">
        <v>0</v>
      </c>
      <c r="F765" s="309">
        <v>0</v>
      </c>
      <c r="G765" s="309">
        <v>0</v>
      </c>
      <c r="H765" s="309">
        <v>0</v>
      </c>
      <c r="I765" s="309" t="s">
        <v>262</v>
      </c>
      <c r="L765" s="648" t="s">
        <v>2926</v>
      </c>
      <c r="O765" s="648" t="s">
        <v>2927</v>
      </c>
    </row>
    <row r="766" spans="1:16">
      <c r="A766" s="309" t="s">
        <v>2928</v>
      </c>
      <c r="C766" s="308">
        <v>21731.25</v>
      </c>
      <c r="D766" s="308">
        <v>0</v>
      </c>
      <c r="E766" s="308">
        <v>0</v>
      </c>
      <c r="F766" s="309">
        <v>0</v>
      </c>
      <c r="G766" s="309">
        <v>-21731.25</v>
      </c>
      <c r="H766" s="309">
        <v>-9999</v>
      </c>
      <c r="I766" s="309" t="s">
        <v>176</v>
      </c>
      <c r="L766" s="648" t="s">
        <v>3313</v>
      </c>
      <c r="O766" s="648" t="s">
        <v>76</v>
      </c>
    </row>
    <row r="767" spans="1:16">
      <c r="A767" s="309" t="s">
        <v>2929</v>
      </c>
      <c r="C767" s="308">
        <v>271731.25</v>
      </c>
      <c r="D767" s="308">
        <v>0</v>
      </c>
      <c r="E767" s="308">
        <v>10900000</v>
      </c>
      <c r="F767" s="309">
        <v>0</v>
      </c>
      <c r="G767" s="309">
        <v>-271731.25</v>
      </c>
      <c r="H767" s="309">
        <v>-9999</v>
      </c>
      <c r="I767" s="309" t="s">
        <v>176</v>
      </c>
      <c r="L767" s="648" t="s">
        <v>3313</v>
      </c>
      <c r="O767" s="648" t="s">
        <v>76</v>
      </c>
    </row>
    <row r="768" spans="1:16">
      <c r="A768" s="309" t="s">
        <v>2930</v>
      </c>
      <c r="C768" s="308">
        <v>271731.25</v>
      </c>
      <c r="D768" s="308">
        <v>0</v>
      </c>
      <c r="E768" s="308">
        <v>10700000</v>
      </c>
      <c r="F768" s="309">
        <v>0</v>
      </c>
      <c r="G768" s="309">
        <v>-271731.25</v>
      </c>
      <c r="H768" s="309">
        <v>-9999</v>
      </c>
      <c r="I768" s="309" t="s">
        <v>176</v>
      </c>
      <c r="L768" s="648" t="s">
        <v>3313</v>
      </c>
      <c r="O768" s="648" t="s">
        <v>76</v>
      </c>
    </row>
    <row r="769" spans="1:15">
      <c r="A769" s="309" t="s">
        <v>2931</v>
      </c>
      <c r="C769" s="308">
        <v>0</v>
      </c>
      <c r="D769" s="308">
        <v>0</v>
      </c>
      <c r="E769" s="308">
        <v>0</v>
      </c>
      <c r="F769" s="309">
        <v>0</v>
      </c>
      <c r="G769" s="309">
        <v>0</v>
      </c>
      <c r="H769" s="309">
        <v>0</v>
      </c>
      <c r="I769" s="309" t="s">
        <v>176</v>
      </c>
      <c r="L769" s="648" t="s">
        <v>3313</v>
      </c>
      <c r="O769" s="648" t="s">
        <v>76</v>
      </c>
    </row>
    <row r="770" spans="1:15">
      <c r="A770" s="309" t="s">
        <v>2932</v>
      </c>
      <c r="C770" s="308">
        <v>0</v>
      </c>
      <c r="D770" s="308">
        <v>0</v>
      </c>
      <c r="E770" s="308">
        <v>0</v>
      </c>
      <c r="F770" s="309">
        <v>0</v>
      </c>
      <c r="G770" s="309">
        <v>0</v>
      </c>
      <c r="H770" s="309">
        <v>0</v>
      </c>
      <c r="I770" s="309" t="s">
        <v>176</v>
      </c>
      <c r="L770" s="648" t="s">
        <v>3313</v>
      </c>
      <c r="O770" s="648" t="s">
        <v>76</v>
      </c>
    </row>
    <row r="771" spans="1:15">
      <c r="A771" s="309" t="s">
        <v>2933</v>
      </c>
      <c r="C771" s="308">
        <v>103510.86</v>
      </c>
      <c r="D771" s="308">
        <v>0</v>
      </c>
      <c r="E771" s="308">
        <v>0</v>
      </c>
      <c r="F771" s="309">
        <v>0</v>
      </c>
      <c r="G771" s="309">
        <v>-103510.86</v>
      </c>
      <c r="H771" s="309">
        <v>-9999</v>
      </c>
      <c r="I771" s="309" t="s">
        <v>176</v>
      </c>
      <c r="L771" s="648" t="s">
        <v>3313</v>
      </c>
      <c r="O771" s="648" t="s">
        <v>76</v>
      </c>
    </row>
    <row r="772" spans="1:15">
      <c r="A772" s="309" t="s">
        <v>2934</v>
      </c>
      <c r="C772" s="308">
        <v>66715.08</v>
      </c>
      <c r="D772" s="308">
        <v>0</v>
      </c>
      <c r="E772" s="308">
        <v>0</v>
      </c>
      <c r="F772" s="309">
        <v>0</v>
      </c>
      <c r="G772" s="309">
        <v>-66715.08</v>
      </c>
      <c r="H772" s="309">
        <v>-9999</v>
      </c>
      <c r="I772" s="309" t="s">
        <v>176</v>
      </c>
      <c r="L772" s="648" t="s">
        <v>3313</v>
      </c>
      <c r="O772" s="648" t="s">
        <v>76</v>
      </c>
    </row>
    <row r="773" spans="1:15">
      <c r="A773" s="309" t="s">
        <v>2935</v>
      </c>
      <c r="C773" s="308">
        <v>21731.25</v>
      </c>
      <c r="D773" s="308">
        <v>0</v>
      </c>
      <c r="E773" s="308">
        <v>0</v>
      </c>
      <c r="F773" s="309">
        <v>0</v>
      </c>
      <c r="G773" s="309">
        <v>-21731.25</v>
      </c>
      <c r="H773" s="309">
        <v>-9999</v>
      </c>
      <c r="I773" s="309" t="s">
        <v>176</v>
      </c>
      <c r="L773" s="648" t="s">
        <v>3313</v>
      </c>
      <c r="O773" s="648" t="s">
        <v>76</v>
      </c>
    </row>
    <row r="774" spans="1:15">
      <c r="A774" s="309" t="s">
        <v>2936</v>
      </c>
      <c r="C774" s="308">
        <v>0</v>
      </c>
      <c r="D774" s="308">
        <v>0</v>
      </c>
      <c r="E774" s="308">
        <v>0</v>
      </c>
      <c r="F774" s="309">
        <v>0</v>
      </c>
      <c r="G774" s="309">
        <v>0</v>
      </c>
      <c r="H774" s="309">
        <v>0</v>
      </c>
      <c r="I774" s="309" t="s">
        <v>76</v>
      </c>
      <c r="L774" s="648" t="s">
        <v>2937</v>
      </c>
    </row>
    <row r="775" spans="1:15">
      <c r="A775" s="309" t="s">
        <v>2938</v>
      </c>
      <c r="C775" s="308">
        <v>0</v>
      </c>
      <c r="D775" s="308">
        <v>0</v>
      </c>
      <c r="E775" s="308">
        <v>0</v>
      </c>
      <c r="F775" s="309">
        <v>0</v>
      </c>
      <c r="G775" s="309">
        <v>0</v>
      </c>
      <c r="H775" s="309">
        <v>0</v>
      </c>
      <c r="I775" s="309" t="s">
        <v>176</v>
      </c>
      <c r="L775" s="648" t="s">
        <v>3313</v>
      </c>
      <c r="O775" s="648" t="s">
        <v>2939</v>
      </c>
    </row>
    <row r="776" spans="1:15">
      <c r="A776" s="309" t="s">
        <v>2940</v>
      </c>
      <c r="C776" s="308">
        <v>-43859.65</v>
      </c>
      <c r="D776" s="308">
        <v>0</v>
      </c>
      <c r="E776" s="308">
        <v>0</v>
      </c>
      <c r="F776" s="309">
        <v>0</v>
      </c>
      <c r="G776" s="309">
        <v>43859.65</v>
      </c>
      <c r="H776" s="309">
        <v>9999</v>
      </c>
      <c r="I776" s="309" t="s">
        <v>176</v>
      </c>
      <c r="L776" s="648" t="s">
        <v>3313</v>
      </c>
      <c r="O776" s="648" t="s">
        <v>2939</v>
      </c>
    </row>
    <row r="777" spans="1:15">
      <c r="A777" s="309" t="s">
        <v>2941</v>
      </c>
      <c r="C777" s="308">
        <v>0</v>
      </c>
      <c r="D777" s="308">
        <v>0</v>
      </c>
      <c r="E777" s="308">
        <v>0</v>
      </c>
      <c r="F777" s="309">
        <v>0</v>
      </c>
      <c r="G777" s="309">
        <v>0</v>
      </c>
      <c r="H777" s="309">
        <v>0</v>
      </c>
      <c r="I777" s="309" t="s">
        <v>176</v>
      </c>
      <c r="L777" s="648" t="s">
        <v>3313</v>
      </c>
      <c r="O777" s="648" t="s">
        <v>2939</v>
      </c>
    </row>
    <row r="778" spans="1:15">
      <c r="A778" s="309" t="s">
        <v>2942</v>
      </c>
      <c r="C778" s="308">
        <v>0</v>
      </c>
      <c r="D778" s="308">
        <v>0</v>
      </c>
      <c r="E778" s="308">
        <v>0</v>
      </c>
      <c r="F778" s="309">
        <v>0</v>
      </c>
      <c r="G778" s="309">
        <v>0</v>
      </c>
      <c r="H778" s="309">
        <v>0</v>
      </c>
      <c r="I778" s="309" t="s">
        <v>176</v>
      </c>
      <c r="L778" s="648" t="s">
        <v>3313</v>
      </c>
      <c r="O778" s="648" t="s">
        <v>2939</v>
      </c>
    </row>
    <row r="779" spans="1:15">
      <c r="A779" s="309" t="s">
        <v>2943</v>
      </c>
      <c r="C779" s="308">
        <v>-222081.58</v>
      </c>
      <c r="D779" s="308">
        <v>0</v>
      </c>
      <c r="E779" s="308">
        <v>0</v>
      </c>
      <c r="F779" s="309">
        <v>0</v>
      </c>
      <c r="G779" s="309">
        <v>222081.58</v>
      </c>
      <c r="H779" s="309">
        <v>9999</v>
      </c>
      <c r="I779" s="309" t="s">
        <v>176</v>
      </c>
      <c r="L779" s="648" t="s">
        <v>3313</v>
      </c>
      <c r="O779" s="648" t="s">
        <v>2939</v>
      </c>
    </row>
    <row r="780" spans="1:15">
      <c r="A780" s="309" t="s">
        <v>2944</v>
      </c>
      <c r="C780" s="308">
        <v>-1403.5</v>
      </c>
      <c r="D780" s="308">
        <v>0</v>
      </c>
      <c r="E780" s="308">
        <v>-1403.5</v>
      </c>
      <c r="F780" s="309">
        <v>0</v>
      </c>
      <c r="G780" s="309">
        <v>1403.5</v>
      </c>
      <c r="H780" s="309">
        <v>9999</v>
      </c>
      <c r="I780" s="309" t="s">
        <v>176</v>
      </c>
      <c r="L780" s="648" t="s">
        <v>3313</v>
      </c>
      <c r="O780" s="648" t="s">
        <v>2939</v>
      </c>
    </row>
    <row r="781" spans="1:15">
      <c r="A781" s="309" t="s">
        <v>2945</v>
      </c>
      <c r="C781" s="308">
        <v>0</v>
      </c>
      <c r="D781" s="308">
        <v>0</v>
      </c>
      <c r="E781" s="308">
        <v>1052.6300000000001</v>
      </c>
      <c r="F781" s="309">
        <v>0</v>
      </c>
      <c r="G781" s="309">
        <v>0</v>
      </c>
      <c r="H781" s="309">
        <v>0</v>
      </c>
      <c r="I781" s="309" t="s">
        <v>176</v>
      </c>
      <c r="L781" s="648" t="s">
        <v>3313</v>
      </c>
      <c r="O781" s="648" t="s">
        <v>2939</v>
      </c>
    </row>
    <row r="782" spans="1:15">
      <c r="A782" s="309" t="s">
        <v>2946</v>
      </c>
      <c r="C782" s="308">
        <v>-11200</v>
      </c>
      <c r="D782" s="308">
        <v>0</v>
      </c>
      <c r="E782" s="308">
        <v>0</v>
      </c>
      <c r="F782" s="309">
        <v>0</v>
      </c>
      <c r="G782" s="309">
        <v>11200</v>
      </c>
      <c r="H782" s="309">
        <v>9999</v>
      </c>
      <c r="I782" s="309" t="s">
        <v>176</v>
      </c>
      <c r="L782" s="648" t="s">
        <v>3313</v>
      </c>
      <c r="O782" s="648" t="s">
        <v>2939</v>
      </c>
    </row>
    <row r="783" spans="1:15">
      <c r="A783" s="309" t="s">
        <v>2947</v>
      </c>
      <c r="C783" s="308">
        <v>104627</v>
      </c>
      <c r="D783" s="308">
        <v>0</v>
      </c>
      <c r="E783" s="308">
        <v>0</v>
      </c>
      <c r="F783" s="309">
        <v>0</v>
      </c>
      <c r="G783" s="309">
        <v>-104627</v>
      </c>
      <c r="H783" s="309">
        <v>-9999</v>
      </c>
      <c r="I783" s="309" t="s">
        <v>176</v>
      </c>
      <c r="L783" s="648" t="s">
        <v>3313</v>
      </c>
      <c r="O783" s="648" t="s">
        <v>2939</v>
      </c>
    </row>
    <row r="784" spans="1:15">
      <c r="A784" s="309" t="s">
        <v>2948</v>
      </c>
      <c r="C784" s="308">
        <v>0</v>
      </c>
      <c r="D784" s="308">
        <v>0</v>
      </c>
      <c r="E784" s="308">
        <v>0</v>
      </c>
      <c r="F784" s="309">
        <v>0</v>
      </c>
      <c r="G784" s="309">
        <v>0</v>
      </c>
      <c r="H784" s="309">
        <v>0</v>
      </c>
      <c r="I784" s="309" t="s">
        <v>1291</v>
      </c>
      <c r="L784" s="648" t="s">
        <v>2949</v>
      </c>
      <c r="O784" s="648">
        <v>13</v>
      </c>
    </row>
    <row r="785" spans="1:16">
      <c r="A785" s="309" t="s">
        <v>727</v>
      </c>
      <c r="C785" s="308">
        <v>176481.5</v>
      </c>
      <c r="D785" s="308">
        <v>0</v>
      </c>
      <c r="E785" s="308">
        <v>176481.5</v>
      </c>
      <c r="F785" s="309">
        <v>0</v>
      </c>
      <c r="G785" s="309">
        <v>-176481.5</v>
      </c>
      <c r="H785" s="309">
        <v>-9999</v>
      </c>
      <c r="I785" s="309" t="s">
        <v>1073</v>
      </c>
      <c r="L785" s="648" t="s">
        <v>1074</v>
      </c>
      <c r="O785" s="648" t="s">
        <v>363</v>
      </c>
      <c r="P785" s="648" t="s">
        <v>728</v>
      </c>
    </row>
    <row r="786" spans="1:16">
      <c r="A786" s="309" t="s">
        <v>729</v>
      </c>
      <c r="C786" s="308">
        <v>0</v>
      </c>
      <c r="D786" s="308">
        <v>0</v>
      </c>
      <c r="E786" s="308">
        <v>0</v>
      </c>
      <c r="F786" s="309">
        <v>0</v>
      </c>
      <c r="G786" s="309">
        <v>0</v>
      </c>
      <c r="H786" s="309">
        <v>0</v>
      </c>
      <c r="I786" s="309" t="s">
        <v>1073</v>
      </c>
      <c r="L786" s="648" t="s">
        <v>1074</v>
      </c>
      <c r="O786" s="648" t="s">
        <v>1611</v>
      </c>
      <c r="P786" s="648" t="s">
        <v>730</v>
      </c>
    </row>
    <row r="787" spans="1:16">
      <c r="A787" s="309" t="s">
        <v>731</v>
      </c>
      <c r="C787" s="308">
        <v>0</v>
      </c>
      <c r="D787" s="308">
        <v>0</v>
      </c>
      <c r="E787" s="308">
        <v>0</v>
      </c>
      <c r="F787" s="309">
        <v>0</v>
      </c>
      <c r="G787" s="309">
        <v>0</v>
      </c>
      <c r="H787" s="309">
        <v>0</v>
      </c>
      <c r="I787" s="309" t="s">
        <v>732</v>
      </c>
      <c r="L787" s="648" t="s">
        <v>1074</v>
      </c>
      <c r="O787" s="648" t="s">
        <v>733</v>
      </c>
    </row>
    <row r="788" spans="1:16">
      <c r="A788" s="309" t="s">
        <v>734</v>
      </c>
      <c r="C788" s="308">
        <v>0</v>
      </c>
      <c r="D788" s="308">
        <v>0</v>
      </c>
      <c r="E788" s="308">
        <v>0</v>
      </c>
      <c r="F788" s="309">
        <v>0</v>
      </c>
      <c r="G788" s="309">
        <v>0</v>
      </c>
      <c r="H788" s="309">
        <v>0</v>
      </c>
      <c r="I788" s="309" t="s">
        <v>1073</v>
      </c>
      <c r="L788" s="648" t="s">
        <v>1074</v>
      </c>
      <c r="O788" s="648" t="s">
        <v>1611</v>
      </c>
      <c r="P788" s="648" t="s">
        <v>735</v>
      </c>
    </row>
    <row r="789" spans="1:16">
      <c r="A789" s="309" t="s">
        <v>736</v>
      </c>
      <c r="C789" s="308">
        <v>963243.49</v>
      </c>
      <c r="D789" s="308">
        <v>0</v>
      </c>
      <c r="E789" s="308">
        <v>963243.49</v>
      </c>
      <c r="F789" s="309">
        <v>0</v>
      </c>
      <c r="G789" s="309">
        <v>-963243.49</v>
      </c>
      <c r="H789" s="309">
        <v>-9999</v>
      </c>
      <c r="I789" s="309" t="s">
        <v>430</v>
      </c>
      <c r="L789" s="648" t="s">
        <v>1074</v>
      </c>
      <c r="O789" s="648" t="s">
        <v>1073</v>
      </c>
      <c r="P789" s="648" t="s">
        <v>737</v>
      </c>
    </row>
    <row r="790" spans="1:16">
      <c r="A790" s="309" t="s">
        <v>738</v>
      </c>
      <c r="C790" s="308">
        <v>19868.04</v>
      </c>
      <c r="D790" s="308">
        <v>0</v>
      </c>
      <c r="E790" s="308">
        <v>19868.04</v>
      </c>
      <c r="F790" s="309">
        <v>0</v>
      </c>
      <c r="G790" s="309">
        <v>-19868.04</v>
      </c>
      <c r="H790" s="309">
        <v>-9999</v>
      </c>
      <c r="I790" s="309" t="s">
        <v>3368</v>
      </c>
      <c r="L790" s="648" t="s">
        <v>1074</v>
      </c>
      <c r="O790" s="648" t="s">
        <v>739</v>
      </c>
    </row>
    <row r="791" spans="1:16">
      <c r="A791" s="309" t="s">
        <v>740</v>
      </c>
      <c r="C791" s="308">
        <v>78860.61</v>
      </c>
      <c r="D791" s="308">
        <v>0</v>
      </c>
      <c r="E791" s="308">
        <v>78860.61</v>
      </c>
      <c r="F791" s="309">
        <v>0</v>
      </c>
      <c r="G791" s="309">
        <v>-78860.61</v>
      </c>
      <c r="H791" s="309">
        <v>-9999</v>
      </c>
      <c r="I791" s="309" t="s">
        <v>3405</v>
      </c>
    </row>
    <row r="792" spans="1:16">
      <c r="A792" s="309" t="s">
        <v>741</v>
      </c>
      <c r="C792" s="308">
        <v>21017.01</v>
      </c>
      <c r="D792" s="308">
        <v>0</v>
      </c>
      <c r="E792" s="308">
        <v>21017.01</v>
      </c>
      <c r="F792" s="309">
        <v>0</v>
      </c>
      <c r="G792" s="309">
        <v>-21017.01</v>
      </c>
      <c r="H792" s="309">
        <v>-9999</v>
      </c>
      <c r="I792" s="309" t="s">
        <v>1073</v>
      </c>
      <c r="L792" s="648" t="s">
        <v>742</v>
      </c>
      <c r="O792" s="648" t="s">
        <v>1074</v>
      </c>
      <c r="P792" s="648" t="s">
        <v>743</v>
      </c>
    </row>
    <row r="793" spans="1:16">
      <c r="A793" s="309" t="s">
        <v>744</v>
      </c>
      <c r="C793" s="308">
        <v>0</v>
      </c>
      <c r="D793" s="308">
        <v>0</v>
      </c>
      <c r="E793" s="308">
        <v>0</v>
      </c>
      <c r="F793" s="309">
        <v>0</v>
      </c>
      <c r="G793" s="309">
        <v>0</v>
      </c>
      <c r="H793" s="309">
        <v>0</v>
      </c>
      <c r="I793" s="309" t="s">
        <v>745</v>
      </c>
      <c r="L793" s="648" t="s">
        <v>1074</v>
      </c>
      <c r="O793" s="648" t="s">
        <v>433</v>
      </c>
      <c r="P793" s="648" t="s">
        <v>746</v>
      </c>
    </row>
    <row r="794" spans="1:16">
      <c r="A794" s="309" t="s">
        <v>747</v>
      </c>
      <c r="C794" s="308">
        <v>10000</v>
      </c>
      <c r="D794" s="308">
        <v>0</v>
      </c>
      <c r="E794" s="308">
        <v>10000</v>
      </c>
      <c r="F794" s="309">
        <v>0</v>
      </c>
      <c r="G794" s="309">
        <v>-10000</v>
      </c>
      <c r="H794" s="309">
        <v>-9999</v>
      </c>
      <c r="I794" s="309" t="s">
        <v>745</v>
      </c>
      <c r="L794" s="648" t="s">
        <v>1074</v>
      </c>
      <c r="O794" s="648" t="s">
        <v>1764</v>
      </c>
    </row>
    <row r="795" spans="1:16">
      <c r="A795" s="309" t="s">
        <v>748</v>
      </c>
      <c r="C795" s="308">
        <v>0</v>
      </c>
      <c r="D795" s="308">
        <v>0</v>
      </c>
      <c r="E795" s="308">
        <v>0</v>
      </c>
      <c r="F795" s="309">
        <v>0</v>
      </c>
      <c r="G795" s="309">
        <v>0</v>
      </c>
      <c r="H795" s="309">
        <v>0</v>
      </c>
      <c r="I795" s="309" t="s">
        <v>749</v>
      </c>
      <c r="L795" s="648" t="s">
        <v>1074</v>
      </c>
      <c r="O795" s="648" t="s">
        <v>1073</v>
      </c>
    </row>
    <row r="796" spans="1:16">
      <c r="A796" s="309" t="s">
        <v>2503</v>
      </c>
      <c r="C796" s="308">
        <v>78715.210000000006</v>
      </c>
      <c r="D796" s="308">
        <v>0</v>
      </c>
      <c r="E796" s="308">
        <v>78715.210000000006</v>
      </c>
      <c r="F796" s="309">
        <v>0</v>
      </c>
      <c r="G796" s="309">
        <v>-78715.210000000006</v>
      </c>
      <c r="H796" s="309">
        <v>-9999</v>
      </c>
      <c r="I796" s="309" t="s">
        <v>2504</v>
      </c>
      <c r="L796" s="648" t="s">
        <v>1074</v>
      </c>
      <c r="O796" s="648" t="s">
        <v>2505</v>
      </c>
      <c r="P796" s="648" t="s">
        <v>2338</v>
      </c>
    </row>
    <row r="797" spans="1:16">
      <c r="A797" s="309" t="s">
        <v>2506</v>
      </c>
      <c r="C797" s="308">
        <v>0</v>
      </c>
      <c r="D797" s="308">
        <v>0</v>
      </c>
      <c r="E797" s="308">
        <v>0</v>
      </c>
      <c r="F797" s="309">
        <v>0</v>
      </c>
      <c r="G797" s="309">
        <v>0</v>
      </c>
      <c r="H797" s="309">
        <v>0</v>
      </c>
      <c r="I797" s="309" t="s">
        <v>2504</v>
      </c>
      <c r="L797" s="648" t="s">
        <v>1074</v>
      </c>
      <c r="O797" s="648" t="s">
        <v>2507</v>
      </c>
      <c r="P797" s="648" t="s">
        <v>2508</v>
      </c>
    </row>
    <row r="798" spans="1:16">
      <c r="A798" s="309" t="s">
        <v>2509</v>
      </c>
      <c r="C798" s="308">
        <v>247648.93</v>
      </c>
      <c r="D798" s="308">
        <v>0</v>
      </c>
      <c r="E798" s="308">
        <v>247648.93</v>
      </c>
      <c r="F798" s="309">
        <v>0</v>
      </c>
      <c r="G798" s="309">
        <v>-247648.93</v>
      </c>
      <c r="H798" s="309">
        <v>-9999</v>
      </c>
      <c r="I798" s="309" t="s">
        <v>1073</v>
      </c>
      <c r="L798" s="648" t="s">
        <v>1074</v>
      </c>
      <c r="O798" s="648" t="s">
        <v>3220</v>
      </c>
      <c r="P798" s="648">
        <v>-2</v>
      </c>
    </row>
    <row r="799" spans="1:16">
      <c r="A799" s="309" t="s">
        <v>2510</v>
      </c>
      <c r="C799" s="308">
        <v>0</v>
      </c>
      <c r="D799" s="308">
        <v>0</v>
      </c>
      <c r="E799" s="308">
        <v>0</v>
      </c>
      <c r="F799" s="309">
        <v>0</v>
      </c>
      <c r="G799" s="309">
        <v>0</v>
      </c>
      <c r="H799" s="309">
        <v>0</v>
      </c>
      <c r="I799" s="309" t="s">
        <v>1073</v>
      </c>
      <c r="L799" s="648" t="s">
        <v>1074</v>
      </c>
      <c r="O799" s="648" t="s">
        <v>3220</v>
      </c>
      <c r="P799" s="648">
        <v>1</v>
      </c>
    </row>
    <row r="800" spans="1:16">
      <c r="A800" s="309" t="s">
        <v>2511</v>
      </c>
      <c r="C800" s="308">
        <v>-1693445.85</v>
      </c>
      <c r="D800" s="308">
        <v>0</v>
      </c>
      <c r="E800" s="308">
        <v>-1693445.85</v>
      </c>
      <c r="F800" s="309">
        <v>0</v>
      </c>
      <c r="G800" s="309">
        <v>1693445.85</v>
      </c>
      <c r="H800" s="309">
        <v>9999</v>
      </c>
      <c r="I800" s="309" t="s">
        <v>2512</v>
      </c>
      <c r="L800" s="648" t="s">
        <v>2513</v>
      </c>
      <c r="O800" s="648" t="s">
        <v>1074</v>
      </c>
      <c r="P800" s="648" t="s">
        <v>2514</v>
      </c>
    </row>
    <row r="801" spans="1:16">
      <c r="A801" s="309" t="s">
        <v>2515</v>
      </c>
      <c r="C801" s="308">
        <v>34911.440000000002</v>
      </c>
      <c r="D801" s="308">
        <v>0</v>
      </c>
      <c r="E801" s="308">
        <v>34911.440000000002</v>
      </c>
      <c r="F801" s="309">
        <v>0</v>
      </c>
      <c r="G801" s="309">
        <v>-34911.440000000002</v>
      </c>
      <c r="H801" s="309">
        <v>-9999</v>
      </c>
      <c r="I801" s="309" t="s">
        <v>1073</v>
      </c>
      <c r="L801" s="648" t="s">
        <v>1074</v>
      </c>
      <c r="O801" s="648" t="s">
        <v>2516</v>
      </c>
    </row>
    <row r="802" spans="1:16">
      <c r="A802" s="309" t="s">
        <v>2517</v>
      </c>
      <c r="C802" s="308">
        <v>249448.94</v>
      </c>
      <c r="D802" s="308">
        <v>0</v>
      </c>
      <c r="E802" s="308">
        <v>249448.94</v>
      </c>
      <c r="F802" s="309">
        <v>0</v>
      </c>
      <c r="G802" s="309">
        <v>-249448.94</v>
      </c>
      <c r="H802" s="309">
        <v>-9999</v>
      </c>
      <c r="I802" s="309" t="s">
        <v>1073</v>
      </c>
      <c r="L802" s="648" t="s">
        <v>2518</v>
      </c>
      <c r="O802" s="648" t="s">
        <v>406</v>
      </c>
    </row>
    <row r="803" spans="1:16">
      <c r="A803" s="309" t="s">
        <v>2519</v>
      </c>
      <c r="C803" s="308">
        <v>-233610.57</v>
      </c>
      <c r="D803" s="308">
        <v>0</v>
      </c>
      <c r="E803" s="308">
        <v>244884.97</v>
      </c>
      <c r="F803" s="309">
        <v>0</v>
      </c>
      <c r="G803" s="309">
        <v>233610.57</v>
      </c>
      <c r="H803" s="309">
        <v>9999</v>
      </c>
      <c r="I803" s="309" t="s">
        <v>1356</v>
      </c>
      <c r="L803" s="648" t="s">
        <v>3407</v>
      </c>
    </row>
    <row r="804" spans="1:16">
      <c r="A804" s="309" t="s">
        <v>2520</v>
      </c>
      <c r="C804" s="308">
        <v>928.23</v>
      </c>
      <c r="D804" s="308">
        <v>0</v>
      </c>
      <c r="E804" s="308">
        <v>-599.9</v>
      </c>
      <c r="F804" s="309">
        <v>0</v>
      </c>
      <c r="G804" s="309">
        <v>-928.23</v>
      </c>
      <c r="H804" s="309">
        <v>-9999</v>
      </c>
      <c r="I804" s="309" t="s">
        <v>2521</v>
      </c>
      <c r="L804" s="648" t="s">
        <v>780</v>
      </c>
      <c r="O804" s="648" t="s">
        <v>2522</v>
      </c>
    </row>
    <row r="805" spans="1:16">
      <c r="A805" s="309" t="s">
        <v>2523</v>
      </c>
      <c r="C805" s="308">
        <v>0</v>
      </c>
      <c r="D805" s="308">
        <v>0</v>
      </c>
      <c r="E805" s="308">
        <v>0</v>
      </c>
      <c r="F805" s="309">
        <v>0</v>
      </c>
      <c r="G805" s="309">
        <v>0</v>
      </c>
      <c r="H805" s="309">
        <v>0</v>
      </c>
      <c r="I805" s="309" t="s">
        <v>158</v>
      </c>
      <c r="L805" s="648" t="s">
        <v>777</v>
      </c>
    </row>
    <row r="806" spans="1:16">
      <c r="A806" s="309" t="s">
        <v>2524</v>
      </c>
      <c r="C806" s="308">
        <v>0</v>
      </c>
      <c r="D806" s="308">
        <v>0</v>
      </c>
      <c r="E806" s="308">
        <v>0</v>
      </c>
      <c r="F806" s="309">
        <v>0</v>
      </c>
      <c r="G806" s="309">
        <v>0</v>
      </c>
      <c r="H806" s="309">
        <v>0</v>
      </c>
      <c r="I806" s="309" t="s">
        <v>2525</v>
      </c>
      <c r="L806" s="648" t="s">
        <v>3253</v>
      </c>
      <c r="O806" s="648" t="s">
        <v>2526</v>
      </c>
    </row>
    <row r="807" spans="1:16">
      <c r="A807" s="309" t="s">
        <v>2527</v>
      </c>
      <c r="C807" s="308">
        <v>318925.52</v>
      </c>
      <c r="D807" s="308">
        <v>0</v>
      </c>
      <c r="E807" s="308">
        <v>318925.52</v>
      </c>
      <c r="F807" s="309">
        <v>0</v>
      </c>
      <c r="G807" s="309">
        <v>-318925.52</v>
      </c>
      <c r="H807" s="309">
        <v>-9999</v>
      </c>
      <c r="I807" s="309" t="s">
        <v>2080</v>
      </c>
      <c r="L807" s="648" t="s">
        <v>3016</v>
      </c>
    </row>
    <row r="808" spans="1:16">
      <c r="A808" s="309" t="s">
        <v>3017</v>
      </c>
      <c r="C808" s="308">
        <v>0</v>
      </c>
      <c r="D808" s="308">
        <v>0</v>
      </c>
      <c r="E808" s="308">
        <v>0</v>
      </c>
      <c r="F808" s="309">
        <v>0</v>
      </c>
      <c r="G808" s="309">
        <v>0</v>
      </c>
      <c r="H808" s="309">
        <v>0</v>
      </c>
      <c r="I808" s="309" t="s">
        <v>2525</v>
      </c>
      <c r="L808" s="648" t="s">
        <v>3253</v>
      </c>
    </row>
    <row r="809" spans="1:16">
      <c r="A809" s="309" t="s">
        <v>3018</v>
      </c>
      <c r="C809" s="308">
        <v>1118340.7</v>
      </c>
      <c r="D809" s="308">
        <v>0</v>
      </c>
      <c r="E809" s="308">
        <v>-3076100.77</v>
      </c>
      <c r="F809" s="309">
        <v>0</v>
      </c>
      <c r="G809" s="309">
        <v>-1118340.7</v>
      </c>
      <c r="H809" s="309">
        <v>-9999</v>
      </c>
      <c r="I809" s="309" t="s">
        <v>3409</v>
      </c>
      <c r="L809" s="648" t="s">
        <v>1074</v>
      </c>
      <c r="O809" s="648" t="s">
        <v>3019</v>
      </c>
    </row>
    <row r="810" spans="1:16">
      <c r="A810" s="309" t="s">
        <v>3020</v>
      </c>
      <c r="C810" s="308">
        <v>-327970.32</v>
      </c>
      <c r="D810" s="308">
        <v>0</v>
      </c>
      <c r="E810" s="308">
        <v>-1234470.78</v>
      </c>
      <c r="F810" s="309">
        <v>0</v>
      </c>
      <c r="G810" s="309">
        <v>327970.32</v>
      </c>
      <c r="H810" s="309">
        <v>9999</v>
      </c>
      <c r="I810" s="309" t="s">
        <v>3021</v>
      </c>
      <c r="L810" s="648" t="s">
        <v>3022</v>
      </c>
      <c r="O810" s="648" t="s">
        <v>3023</v>
      </c>
    </row>
    <row r="811" spans="1:16">
      <c r="A811" s="309" t="s">
        <v>3024</v>
      </c>
      <c r="C811" s="308">
        <v>0</v>
      </c>
      <c r="D811" s="308">
        <v>0</v>
      </c>
      <c r="E811" s="308">
        <v>0</v>
      </c>
      <c r="F811" s="309">
        <v>0</v>
      </c>
      <c r="G811" s="309">
        <v>0</v>
      </c>
      <c r="H811" s="309">
        <v>0</v>
      </c>
      <c r="I811" s="309" t="s">
        <v>3025</v>
      </c>
      <c r="L811" s="648" t="s">
        <v>3026</v>
      </c>
    </row>
    <row r="812" spans="1:16">
      <c r="A812" s="309" t="s">
        <v>3027</v>
      </c>
      <c r="C812" s="308">
        <v>-19459.080000000002</v>
      </c>
      <c r="D812" s="308">
        <v>0</v>
      </c>
      <c r="E812" s="308">
        <v>383911.54</v>
      </c>
      <c r="F812" s="309">
        <v>0</v>
      </c>
      <c r="G812" s="309">
        <v>19459.080000000002</v>
      </c>
      <c r="H812" s="309">
        <v>9999</v>
      </c>
      <c r="I812" s="309" t="s">
        <v>689</v>
      </c>
      <c r="L812" s="648" t="s">
        <v>3028</v>
      </c>
      <c r="O812" s="648" t="s">
        <v>3029</v>
      </c>
    </row>
    <row r="813" spans="1:16">
      <c r="A813" s="309" t="s">
        <v>3030</v>
      </c>
      <c r="C813" s="308">
        <v>0</v>
      </c>
      <c r="D813" s="308">
        <v>0</v>
      </c>
      <c r="E813" s="308">
        <v>0</v>
      </c>
      <c r="F813" s="309">
        <v>0</v>
      </c>
      <c r="G813" s="309">
        <v>0</v>
      </c>
      <c r="H813" s="309">
        <v>0</v>
      </c>
      <c r="I813" s="309" t="s">
        <v>3031</v>
      </c>
      <c r="L813" s="648" t="s">
        <v>3032</v>
      </c>
    </row>
    <row r="814" spans="1:16">
      <c r="A814" s="309" t="s">
        <v>3033</v>
      </c>
      <c r="C814" s="308">
        <v>0</v>
      </c>
      <c r="D814" s="308">
        <v>0</v>
      </c>
      <c r="E814" s="308">
        <v>0</v>
      </c>
      <c r="F814" s="309">
        <v>0</v>
      </c>
      <c r="G814" s="309">
        <v>0</v>
      </c>
      <c r="H814" s="309">
        <v>0</v>
      </c>
      <c r="I814" s="309" t="s">
        <v>852</v>
      </c>
      <c r="L814" s="648" t="s">
        <v>3034</v>
      </c>
    </row>
    <row r="815" spans="1:16">
      <c r="A815" s="309" t="s">
        <v>3035</v>
      </c>
      <c r="C815" s="308">
        <v>0</v>
      </c>
      <c r="D815" s="308">
        <v>0</v>
      </c>
      <c r="E815" s="308">
        <v>0</v>
      </c>
      <c r="F815" s="309">
        <v>0</v>
      </c>
      <c r="G815" s="309">
        <v>0</v>
      </c>
      <c r="H815" s="309">
        <v>0</v>
      </c>
      <c r="I815" s="309" t="s">
        <v>3036</v>
      </c>
      <c r="L815" s="648" t="s">
        <v>1074</v>
      </c>
      <c r="O815" s="648" t="s">
        <v>3037</v>
      </c>
      <c r="P815" s="648" t="s">
        <v>3038</v>
      </c>
    </row>
    <row r="816" spans="1:16">
      <c r="A816" s="309" t="s">
        <v>3039</v>
      </c>
      <c r="C816" s="308">
        <v>1258.99</v>
      </c>
      <c r="D816" s="308">
        <v>0</v>
      </c>
      <c r="E816" s="308">
        <v>0</v>
      </c>
      <c r="F816" s="309">
        <v>0</v>
      </c>
      <c r="G816" s="309">
        <v>-1258.99</v>
      </c>
      <c r="H816" s="309">
        <v>-9999</v>
      </c>
      <c r="I816" s="309" t="s">
        <v>1638</v>
      </c>
      <c r="L816" s="648" t="s">
        <v>3040</v>
      </c>
      <c r="O816" s="648" t="s">
        <v>3041</v>
      </c>
    </row>
    <row r="817" spans="1:16">
      <c r="A817" s="309" t="s">
        <v>3042</v>
      </c>
      <c r="C817" s="308">
        <v>0</v>
      </c>
      <c r="D817" s="308">
        <v>0</v>
      </c>
      <c r="E817" s="308">
        <v>0</v>
      </c>
      <c r="F817" s="309">
        <v>0</v>
      </c>
      <c r="G817" s="309">
        <v>0</v>
      </c>
      <c r="H817" s="309">
        <v>0</v>
      </c>
      <c r="I817" s="309" t="s">
        <v>3043</v>
      </c>
      <c r="L817" s="648" t="s">
        <v>3044</v>
      </c>
    </row>
    <row r="818" spans="1:16">
      <c r="A818" s="309" t="s">
        <v>3045</v>
      </c>
      <c r="C818" s="308">
        <v>3240000</v>
      </c>
      <c r="D818" s="308">
        <v>0</v>
      </c>
      <c r="E818" s="308">
        <v>0</v>
      </c>
      <c r="F818" s="309">
        <v>0</v>
      </c>
      <c r="G818" s="309">
        <v>-3240000</v>
      </c>
      <c r="H818" s="309">
        <v>-9999</v>
      </c>
      <c r="I818" s="309" t="s">
        <v>3046</v>
      </c>
      <c r="L818" s="648" t="s">
        <v>3047</v>
      </c>
      <c r="O818" s="648" t="s">
        <v>3048</v>
      </c>
    </row>
    <row r="819" spans="1:16">
      <c r="A819" s="309" t="s">
        <v>3049</v>
      </c>
      <c r="C819" s="308">
        <v>-0.08</v>
      </c>
      <c r="D819" s="308">
        <v>0</v>
      </c>
      <c r="E819" s="308">
        <v>0</v>
      </c>
      <c r="F819" s="309">
        <v>0</v>
      </c>
      <c r="G819" s="309">
        <v>0.08</v>
      </c>
      <c r="H819" s="309">
        <v>9999</v>
      </c>
      <c r="I819" s="309" t="s">
        <v>3416</v>
      </c>
    </row>
    <row r="820" spans="1:16">
      <c r="A820" s="309" t="s">
        <v>3050</v>
      </c>
      <c r="C820" s="308">
        <v>0</v>
      </c>
      <c r="D820" s="308">
        <v>0</v>
      </c>
      <c r="E820" s="308">
        <v>0</v>
      </c>
      <c r="F820" s="309">
        <v>0</v>
      </c>
      <c r="G820" s="309">
        <v>0</v>
      </c>
      <c r="H820" s="309">
        <v>0</v>
      </c>
      <c r="I820" s="309" t="s">
        <v>3051</v>
      </c>
      <c r="L820" s="648" t="s">
        <v>3052</v>
      </c>
      <c r="O820" s="648" t="s">
        <v>3053</v>
      </c>
    </row>
    <row r="821" spans="1:16">
      <c r="A821" s="309" t="s">
        <v>3054</v>
      </c>
      <c r="C821" s="308">
        <v>0</v>
      </c>
      <c r="D821" s="308">
        <v>0</v>
      </c>
      <c r="E821" s="308">
        <v>0</v>
      </c>
      <c r="F821" s="309">
        <v>0</v>
      </c>
      <c r="G821" s="309">
        <v>0</v>
      </c>
      <c r="H821" s="309">
        <v>0</v>
      </c>
      <c r="I821" s="309" t="s">
        <v>3055</v>
      </c>
      <c r="L821" s="648" t="s">
        <v>3056</v>
      </c>
      <c r="O821" s="648" t="s">
        <v>1880</v>
      </c>
    </row>
    <row r="822" spans="1:16">
      <c r="A822" s="309" t="s">
        <v>3057</v>
      </c>
      <c r="C822" s="308">
        <v>0</v>
      </c>
      <c r="D822" s="308">
        <v>0</v>
      </c>
      <c r="E822" s="308">
        <v>0</v>
      </c>
      <c r="F822" s="309">
        <v>0</v>
      </c>
      <c r="G822" s="309">
        <v>0</v>
      </c>
      <c r="H822" s="309">
        <v>0</v>
      </c>
      <c r="I822" s="309" t="s">
        <v>441</v>
      </c>
      <c r="L822" s="648" t="s">
        <v>3058</v>
      </c>
    </row>
    <row r="823" spans="1:16">
      <c r="A823" s="309" t="s">
        <v>3059</v>
      </c>
      <c r="C823" s="308">
        <v>0</v>
      </c>
      <c r="D823" s="308">
        <v>0</v>
      </c>
      <c r="E823" s="308">
        <v>0</v>
      </c>
      <c r="F823" s="309">
        <v>0</v>
      </c>
      <c r="G823" s="309">
        <v>0</v>
      </c>
      <c r="H823" s="309">
        <v>0</v>
      </c>
      <c r="I823" s="309" t="s">
        <v>3060</v>
      </c>
      <c r="L823" s="648" t="s">
        <v>3061</v>
      </c>
    </row>
    <row r="824" spans="1:16">
      <c r="A824" s="309" t="s">
        <v>3062</v>
      </c>
      <c r="C824" s="308">
        <v>0</v>
      </c>
      <c r="D824" s="308">
        <v>0</v>
      </c>
      <c r="E824" s="308">
        <v>-857673.78</v>
      </c>
      <c r="F824" s="309">
        <v>0</v>
      </c>
      <c r="G824" s="309">
        <v>0</v>
      </c>
      <c r="H824" s="309">
        <v>0</v>
      </c>
      <c r="I824" s="309" t="s">
        <v>1887</v>
      </c>
      <c r="L824" s="648" t="s">
        <v>1074</v>
      </c>
      <c r="O824" s="648" t="s">
        <v>1915</v>
      </c>
      <c r="P824" s="648" t="s">
        <v>3063</v>
      </c>
    </row>
    <row r="825" spans="1:16">
      <c r="A825" s="309" t="s">
        <v>3064</v>
      </c>
      <c r="C825" s="308">
        <v>0</v>
      </c>
      <c r="D825" s="308">
        <v>0</v>
      </c>
      <c r="E825" s="308">
        <v>0</v>
      </c>
      <c r="F825" s="309">
        <v>0</v>
      </c>
      <c r="G825" s="309">
        <v>0</v>
      </c>
      <c r="H825" s="309">
        <v>0</v>
      </c>
      <c r="I825" s="309" t="s">
        <v>97</v>
      </c>
      <c r="L825" s="648" t="s">
        <v>3065</v>
      </c>
      <c r="O825" s="648" t="s">
        <v>3058</v>
      </c>
    </row>
    <row r="826" spans="1:16">
      <c r="A826" s="309" t="s">
        <v>3066</v>
      </c>
      <c r="C826" s="308">
        <v>-707153.82</v>
      </c>
      <c r="D826" s="308">
        <v>0</v>
      </c>
      <c r="E826" s="308">
        <v>-1433580</v>
      </c>
      <c r="F826" s="309">
        <v>0</v>
      </c>
      <c r="G826" s="309">
        <v>707153.82</v>
      </c>
      <c r="H826" s="309">
        <v>9999</v>
      </c>
      <c r="I826" s="309" t="s">
        <v>93</v>
      </c>
      <c r="L826" s="648" t="s">
        <v>3067</v>
      </c>
      <c r="O826" s="648" t="s">
        <v>3068</v>
      </c>
    </row>
    <row r="827" spans="1:16">
      <c r="A827" s="309" t="s">
        <v>3069</v>
      </c>
      <c r="C827" s="308">
        <v>0</v>
      </c>
      <c r="D827" s="308">
        <v>0</v>
      </c>
      <c r="E827" s="308">
        <v>0</v>
      </c>
      <c r="F827" s="309">
        <v>0</v>
      </c>
      <c r="G827" s="309">
        <v>0</v>
      </c>
      <c r="H827" s="309">
        <v>0</v>
      </c>
      <c r="I827" s="309" t="s">
        <v>3070</v>
      </c>
      <c r="L827" s="648" t="s">
        <v>3294</v>
      </c>
    </row>
    <row r="828" spans="1:16">
      <c r="A828" s="309" t="s">
        <v>3071</v>
      </c>
      <c r="C828" s="308">
        <v>-993208.67</v>
      </c>
      <c r="D828" s="308">
        <v>0</v>
      </c>
      <c r="E828" s="308">
        <v>-643208.67000000004</v>
      </c>
      <c r="F828" s="309">
        <v>0</v>
      </c>
      <c r="G828" s="309">
        <v>993208.67</v>
      </c>
      <c r="H828" s="309">
        <v>9999</v>
      </c>
      <c r="I828" s="309" t="s">
        <v>422</v>
      </c>
      <c r="L828" s="648" t="s">
        <v>2338</v>
      </c>
      <c r="O828" s="648" t="s">
        <v>3072</v>
      </c>
    </row>
    <row r="829" spans="1:16">
      <c r="A829" s="309" t="s">
        <v>3073</v>
      </c>
      <c r="C829" s="308">
        <v>0</v>
      </c>
      <c r="D829" s="308">
        <v>0</v>
      </c>
      <c r="E829" s="308">
        <v>0</v>
      </c>
      <c r="F829" s="309">
        <v>0</v>
      </c>
      <c r="G829" s="309">
        <v>0</v>
      </c>
      <c r="H829" s="309">
        <v>0</v>
      </c>
      <c r="I829" s="309" t="s">
        <v>3416</v>
      </c>
    </row>
    <row r="830" spans="1:16">
      <c r="A830" s="309" t="s">
        <v>2603</v>
      </c>
      <c r="C830" s="308">
        <v>0</v>
      </c>
      <c r="D830" s="308">
        <v>0</v>
      </c>
      <c r="E830" s="308">
        <v>0</v>
      </c>
      <c r="F830" s="309">
        <v>0</v>
      </c>
      <c r="G830" s="309">
        <v>0</v>
      </c>
      <c r="H830" s="309">
        <v>0</v>
      </c>
      <c r="I830" s="309" t="s">
        <v>2604</v>
      </c>
      <c r="L830" s="648" t="s">
        <v>2605</v>
      </c>
      <c r="O830" s="648" t="s">
        <v>2606</v>
      </c>
    </row>
    <row r="831" spans="1:16">
      <c r="A831" s="309" t="s">
        <v>2607</v>
      </c>
      <c r="C831" s="308">
        <v>-858900</v>
      </c>
      <c r="D831" s="308">
        <v>0</v>
      </c>
      <c r="E831" s="308">
        <v>1058044.1299999999</v>
      </c>
      <c r="F831" s="309">
        <v>0</v>
      </c>
      <c r="G831" s="309">
        <v>858900</v>
      </c>
      <c r="H831" s="309">
        <v>9999</v>
      </c>
      <c r="I831" s="309" t="s">
        <v>3065</v>
      </c>
      <c r="L831" s="648" t="s">
        <v>1074</v>
      </c>
      <c r="O831" s="648" t="s">
        <v>2608</v>
      </c>
    </row>
    <row r="832" spans="1:16">
      <c r="A832" s="309" t="s">
        <v>2609</v>
      </c>
      <c r="C832" s="308">
        <v>0</v>
      </c>
      <c r="D832" s="308">
        <v>0</v>
      </c>
      <c r="E832" s="308">
        <v>-355141.38</v>
      </c>
      <c r="F832" s="309">
        <v>0</v>
      </c>
      <c r="G832" s="309">
        <v>0</v>
      </c>
      <c r="H832" s="309">
        <v>0</v>
      </c>
      <c r="I832" s="309" t="s">
        <v>363</v>
      </c>
      <c r="L832" s="648" t="s">
        <v>3609</v>
      </c>
      <c r="O832" s="648" t="s">
        <v>2610</v>
      </c>
      <c r="P832" s="648" t="s">
        <v>2611</v>
      </c>
    </row>
    <row r="833" spans="1:16">
      <c r="A833" s="309" t="s">
        <v>2612</v>
      </c>
      <c r="C833" s="308">
        <v>0</v>
      </c>
      <c r="D833" s="308">
        <v>0</v>
      </c>
      <c r="E833" s="308">
        <v>-286368</v>
      </c>
      <c r="F833" s="309">
        <v>0</v>
      </c>
      <c r="G833" s="309">
        <v>0</v>
      </c>
      <c r="H833" s="309">
        <v>0</v>
      </c>
      <c r="I833" s="309" t="s">
        <v>1943</v>
      </c>
      <c r="L833" s="648" t="s">
        <v>1612</v>
      </c>
      <c r="O833" s="648" t="s">
        <v>1687</v>
      </c>
    </row>
    <row r="834" spans="1:16">
      <c r="A834" s="309" t="s">
        <v>2613</v>
      </c>
      <c r="C834" s="308">
        <v>43385</v>
      </c>
      <c r="D834" s="308">
        <v>0</v>
      </c>
      <c r="E834" s="308">
        <v>-362960.51</v>
      </c>
      <c r="F834" s="309">
        <v>0</v>
      </c>
      <c r="G834" s="309">
        <v>-43385</v>
      </c>
      <c r="H834" s="309">
        <v>-9999</v>
      </c>
      <c r="I834" s="309" t="s">
        <v>2614</v>
      </c>
      <c r="L834" s="648" t="s">
        <v>2338</v>
      </c>
      <c r="O834" s="648" t="s">
        <v>795</v>
      </c>
    </row>
    <row r="835" spans="1:16">
      <c r="A835" s="309" t="s">
        <v>2615</v>
      </c>
      <c r="C835" s="308">
        <v>0</v>
      </c>
      <c r="D835" s="308">
        <v>0</v>
      </c>
      <c r="E835" s="308">
        <v>-95000</v>
      </c>
      <c r="F835" s="309">
        <v>0</v>
      </c>
      <c r="G835" s="309">
        <v>0</v>
      </c>
      <c r="H835" s="309">
        <v>0</v>
      </c>
      <c r="I835" s="309" t="s">
        <v>2616</v>
      </c>
      <c r="L835" s="648" t="s">
        <v>780</v>
      </c>
      <c r="O835" s="648" t="s">
        <v>2617</v>
      </c>
      <c r="P835" s="648" t="s">
        <v>2618</v>
      </c>
    </row>
    <row r="836" spans="1:16">
      <c r="A836" s="309" t="s">
        <v>2619</v>
      </c>
      <c r="C836" s="308">
        <v>575003.79</v>
      </c>
      <c r="D836" s="308">
        <v>0</v>
      </c>
      <c r="E836" s="308">
        <v>276700</v>
      </c>
      <c r="F836" s="309">
        <v>0</v>
      </c>
      <c r="G836" s="309">
        <v>-575003.79</v>
      </c>
      <c r="H836" s="309">
        <v>-9999</v>
      </c>
      <c r="I836" s="309" t="s">
        <v>2620</v>
      </c>
      <c r="L836" s="648" t="s">
        <v>1101</v>
      </c>
    </row>
    <row r="837" spans="1:16">
      <c r="A837" s="309" t="s">
        <v>2621</v>
      </c>
      <c r="C837" s="308">
        <v>0</v>
      </c>
      <c r="D837" s="308">
        <v>0</v>
      </c>
      <c r="E837" s="308">
        <v>-22730</v>
      </c>
      <c r="F837" s="309">
        <v>0</v>
      </c>
      <c r="G837" s="309">
        <v>0</v>
      </c>
      <c r="H837" s="309">
        <v>0</v>
      </c>
      <c r="I837" s="309" t="s">
        <v>2622</v>
      </c>
      <c r="L837" s="648" t="s">
        <v>2623</v>
      </c>
    </row>
    <row r="838" spans="1:16">
      <c r="A838" s="309" t="s">
        <v>2624</v>
      </c>
      <c r="C838" s="308">
        <v>0</v>
      </c>
      <c r="D838" s="308">
        <v>0</v>
      </c>
      <c r="E838" s="308">
        <v>0</v>
      </c>
      <c r="F838" s="309">
        <v>0</v>
      </c>
      <c r="G838" s="309">
        <v>0</v>
      </c>
      <c r="H838" s="309">
        <v>0</v>
      </c>
      <c r="I838" s="309" t="s">
        <v>2625</v>
      </c>
      <c r="L838" s="648" t="s">
        <v>2626</v>
      </c>
    </row>
    <row r="839" spans="1:16">
      <c r="A839" s="309" t="s">
        <v>2627</v>
      </c>
      <c r="C839" s="308">
        <v>0</v>
      </c>
      <c r="D839" s="308">
        <v>0</v>
      </c>
      <c r="E839" s="308">
        <v>0</v>
      </c>
      <c r="F839" s="309">
        <v>0</v>
      </c>
      <c r="G839" s="309">
        <v>0</v>
      </c>
      <c r="H839" s="309">
        <v>0</v>
      </c>
      <c r="I839" s="309" t="s">
        <v>2628</v>
      </c>
      <c r="L839" s="648" t="s">
        <v>95</v>
      </c>
      <c r="O839" s="648" t="s">
        <v>2629</v>
      </c>
    </row>
    <row r="840" spans="1:16">
      <c r="A840" s="309" t="s">
        <v>2630</v>
      </c>
      <c r="C840" s="308">
        <v>-11896.39</v>
      </c>
      <c r="D840" s="308">
        <v>0</v>
      </c>
      <c r="E840" s="308">
        <v>-11896.39</v>
      </c>
      <c r="F840" s="309">
        <v>0</v>
      </c>
      <c r="G840" s="309">
        <v>11896.39</v>
      </c>
      <c r="H840" s="309">
        <v>9999</v>
      </c>
      <c r="I840" s="309" t="s">
        <v>2631</v>
      </c>
      <c r="L840" s="648">
        <v>61300001362</v>
      </c>
    </row>
    <row r="841" spans="1:16">
      <c r="A841" s="309" t="s">
        <v>2632</v>
      </c>
      <c r="C841" s="308">
        <v>-11060</v>
      </c>
      <c r="D841" s="308">
        <v>0</v>
      </c>
      <c r="E841" s="308">
        <v>-11060</v>
      </c>
      <c r="F841" s="309">
        <v>0</v>
      </c>
      <c r="G841" s="309">
        <v>11060</v>
      </c>
      <c r="H841" s="309">
        <v>9999</v>
      </c>
      <c r="I841" s="309" t="s">
        <v>2633</v>
      </c>
      <c r="L841" s="648" t="s">
        <v>3426</v>
      </c>
      <c r="O841" s="648">
        <v>3889</v>
      </c>
    </row>
    <row r="842" spans="1:16">
      <c r="A842" s="309" t="s">
        <v>2634</v>
      </c>
      <c r="C842" s="308">
        <v>-24650.85</v>
      </c>
      <c r="D842" s="308">
        <v>0</v>
      </c>
      <c r="E842" s="308">
        <v>-24650.85</v>
      </c>
      <c r="F842" s="309">
        <v>0</v>
      </c>
      <c r="G842" s="309">
        <v>24650.85</v>
      </c>
      <c r="H842" s="309">
        <v>9999</v>
      </c>
      <c r="I842" s="309" t="s">
        <v>2635</v>
      </c>
      <c r="L842" s="648" t="s">
        <v>1074</v>
      </c>
      <c r="O842" s="648">
        <v>30643262185</v>
      </c>
    </row>
    <row r="843" spans="1:16">
      <c r="A843" s="309" t="s">
        <v>2636</v>
      </c>
      <c r="C843" s="308">
        <v>-4493.58</v>
      </c>
      <c r="D843" s="308">
        <v>0</v>
      </c>
      <c r="E843" s="308">
        <v>-4493.58</v>
      </c>
      <c r="F843" s="309">
        <v>0</v>
      </c>
      <c r="G843" s="309">
        <v>4493.58</v>
      </c>
      <c r="H843" s="309">
        <v>9999</v>
      </c>
      <c r="I843" s="309" t="s">
        <v>2635</v>
      </c>
      <c r="L843" s="648" t="s">
        <v>1074</v>
      </c>
      <c r="O843" s="648">
        <v>9110099906</v>
      </c>
    </row>
    <row r="844" spans="1:16">
      <c r="A844" s="309" t="s">
        <v>2637</v>
      </c>
      <c r="C844" s="308">
        <v>-10162.200000000001</v>
      </c>
      <c r="D844" s="308">
        <v>0</v>
      </c>
      <c r="E844" s="308">
        <v>-10162.200000000001</v>
      </c>
      <c r="F844" s="309">
        <v>0</v>
      </c>
      <c r="G844" s="309">
        <v>10162.200000000001</v>
      </c>
      <c r="H844" s="309">
        <v>9999</v>
      </c>
      <c r="I844" s="309" t="s">
        <v>2635</v>
      </c>
      <c r="L844" s="648" t="s">
        <v>1074</v>
      </c>
      <c r="O844" s="648">
        <v>9110097580</v>
      </c>
    </row>
    <row r="845" spans="1:16">
      <c r="A845" s="309" t="s">
        <v>2638</v>
      </c>
      <c r="C845" s="308">
        <v>-8422.7800000000007</v>
      </c>
      <c r="D845" s="308">
        <v>0</v>
      </c>
      <c r="E845" s="308">
        <v>-8422.7800000000007</v>
      </c>
      <c r="F845" s="309">
        <v>0</v>
      </c>
      <c r="G845" s="309">
        <v>8422.7800000000007</v>
      </c>
      <c r="H845" s="309">
        <v>9999</v>
      </c>
      <c r="I845" s="309" t="s">
        <v>2635</v>
      </c>
      <c r="L845" s="648" t="s">
        <v>1074</v>
      </c>
      <c r="O845" s="648">
        <v>9109027564</v>
      </c>
    </row>
    <row r="846" spans="1:16">
      <c r="A846" s="309" t="s">
        <v>2639</v>
      </c>
      <c r="C846" s="308">
        <v>2352819.92</v>
      </c>
      <c r="D846" s="308">
        <v>0</v>
      </c>
      <c r="E846" s="308">
        <v>-3313231.62</v>
      </c>
      <c r="F846" s="309">
        <v>0</v>
      </c>
      <c r="G846" s="309">
        <v>-2352819.92</v>
      </c>
      <c r="H846" s="309">
        <v>-9999</v>
      </c>
      <c r="I846" s="309" t="s">
        <v>2640</v>
      </c>
      <c r="L846" s="648" t="s">
        <v>2641</v>
      </c>
      <c r="O846" s="648" t="s">
        <v>2642</v>
      </c>
    </row>
    <row r="847" spans="1:16">
      <c r="A847" s="309" t="s">
        <v>2643</v>
      </c>
      <c r="C847" s="308">
        <v>-17261.25</v>
      </c>
      <c r="D847" s="308">
        <v>0</v>
      </c>
      <c r="E847" s="308">
        <v>-17261.25</v>
      </c>
      <c r="F847" s="309">
        <v>0</v>
      </c>
      <c r="G847" s="309">
        <v>17261.25</v>
      </c>
      <c r="H847" s="309">
        <v>9999</v>
      </c>
      <c r="I847" s="309" t="s">
        <v>2635</v>
      </c>
      <c r="L847" s="648" t="s">
        <v>1074</v>
      </c>
      <c r="O847" s="648">
        <v>207499549</v>
      </c>
    </row>
    <row r="848" spans="1:16">
      <c r="A848" s="309" t="s">
        <v>2644</v>
      </c>
      <c r="C848" s="308">
        <v>0</v>
      </c>
      <c r="D848" s="308">
        <v>0</v>
      </c>
      <c r="E848" s="308">
        <v>0</v>
      </c>
      <c r="F848" s="309">
        <v>0</v>
      </c>
      <c r="G848" s="309">
        <v>0</v>
      </c>
      <c r="H848" s="309">
        <v>0</v>
      </c>
      <c r="I848" s="309" t="s">
        <v>2635</v>
      </c>
      <c r="L848" s="648" t="s">
        <v>1074</v>
      </c>
      <c r="O848" s="648">
        <v>2064712918</v>
      </c>
    </row>
    <row r="849" spans="1:17">
      <c r="A849" s="309" t="s">
        <v>2645</v>
      </c>
      <c r="C849" s="308">
        <v>0</v>
      </c>
      <c r="D849" s="308">
        <v>0</v>
      </c>
      <c r="E849" s="308">
        <v>0</v>
      </c>
      <c r="F849" s="309">
        <v>0</v>
      </c>
      <c r="G849" s="309">
        <v>0</v>
      </c>
      <c r="H849" s="309">
        <v>0</v>
      </c>
      <c r="I849" s="309" t="s">
        <v>2635</v>
      </c>
      <c r="L849" s="648" t="s">
        <v>1074</v>
      </c>
      <c r="O849" s="648">
        <v>2064284759</v>
      </c>
    </row>
    <row r="850" spans="1:17">
      <c r="A850" s="309" t="s">
        <v>2646</v>
      </c>
      <c r="C850" s="308">
        <v>0</v>
      </c>
      <c r="D850" s="308">
        <v>0</v>
      </c>
      <c r="E850" s="308">
        <v>0</v>
      </c>
      <c r="F850" s="309">
        <v>0</v>
      </c>
      <c r="G850" s="309">
        <v>0</v>
      </c>
      <c r="H850" s="309">
        <v>0</v>
      </c>
      <c r="I850" s="309" t="s">
        <v>3419</v>
      </c>
      <c r="L850" s="648" t="s">
        <v>1074</v>
      </c>
      <c r="O850" s="648" t="s">
        <v>2647</v>
      </c>
      <c r="P850" s="648" t="s">
        <v>115</v>
      </c>
    </row>
    <row r="851" spans="1:17">
      <c r="A851" s="309" t="s">
        <v>2648</v>
      </c>
      <c r="C851" s="308">
        <v>5025471.25</v>
      </c>
      <c r="D851" s="308">
        <v>0</v>
      </c>
      <c r="E851" s="308">
        <v>5025471.25</v>
      </c>
      <c r="F851" s="309">
        <v>0</v>
      </c>
      <c r="G851" s="309">
        <v>-5025471.25</v>
      </c>
      <c r="H851" s="309">
        <v>-9999</v>
      </c>
      <c r="I851" s="309" t="s">
        <v>3419</v>
      </c>
      <c r="L851" s="648" t="s">
        <v>1074</v>
      </c>
      <c r="O851" s="648" t="s">
        <v>765</v>
      </c>
      <c r="P851" s="648" t="s">
        <v>780</v>
      </c>
      <c r="Q851" s="648" t="s">
        <v>2649</v>
      </c>
    </row>
    <row r="852" spans="1:17">
      <c r="A852" s="309" t="s">
        <v>2651</v>
      </c>
      <c r="C852" s="308">
        <v>0</v>
      </c>
      <c r="D852" s="308">
        <v>0</v>
      </c>
      <c r="E852" s="308">
        <v>0</v>
      </c>
      <c r="F852" s="309">
        <v>0</v>
      </c>
      <c r="G852" s="309">
        <v>0</v>
      </c>
      <c r="H852" s="309">
        <v>0</v>
      </c>
      <c r="I852" s="309" t="s">
        <v>2652</v>
      </c>
      <c r="L852" s="648" t="s">
        <v>1074</v>
      </c>
      <c r="O852" s="648" t="s">
        <v>289</v>
      </c>
      <c r="P852" s="648" t="s">
        <v>2653</v>
      </c>
    </row>
    <row r="853" spans="1:17">
      <c r="A853" s="309" t="s">
        <v>2654</v>
      </c>
      <c r="C853" s="308">
        <v>0</v>
      </c>
      <c r="D853" s="308">
        <v>0</v>
      </c>
      <c r="E853" s="308">
        <v>0</v>
      </c>
      <c r="F853" s="309">
        <v>0</v>
      </c>
      <c r="G853" s="309">
        <v>0</v>
      </c>
      <c r="H853" s="309">
        <v>0</v>
      </c>
      <c r="I853" s="309" t="s">
        <v>3031</v>
      </c>
      <c r="L853" s="648" t="s">
        <v>3032</v>
      </c>
    </row>
    <row r="854" spans="1:17">
      <c r="A854" s="309" t="s">
        <v>2655</v>
      </c>
      <c r="C854" s="308">
        <v>0</v>
      </c>
      <c r="D854" s="308">
        <v>0</v>
      </c>
      <c r="E854" s="308">
        <v>-55829.75</v>
      </c>
      <c r="F854" s="309">
        <v>0</v>
      </c>
      <c r="G854" s="309">
        <v>0</v>
      </c>
      <c r="H854" s="309">
        <v>0</v>
      </c>
      <c r="I854" s="309" t="s">
        <v>2656</v>
      </c>
      <c r="L854" s="648" t="s">
        <v>1857</v>
      </c>
      <c r="O854" s="648" t="s">
        <v>2657</v>
      </c>
    </row>
    <row r="855" spans="1:17">
      <c r="A855" s="309" t="s">
        <v>2658</v>
      </c>
      <c r="C855" s="308">
        <v>57303.34</v>
      </c>
      <c r="D855" s="308">
        <v>0</v>
      </c>
      <c r="E855" s="308">
        <v>169801.09</v>
      </c>
      <c r="F855" s="309">
        <v>0</v>
      </c>
      <c r="G855" s="309">
        <v>-57303.34</v>
      </c>
      <c r="H855" s="309">
        <v>-9999</v>
      </c>
      <c r="I855" s="309" t="s">
        <v>76</v>
      </c>
      <c r="L855" s="648" t="s">
        <v>2659</v>
      </c>
    </row>
    <row r="856" spans="1:17">
      <c r="A856" s="309" t="s">
        <v>2660</v>
      </c>
      <c r="C856" s="308">
        <v>0</v>
      </c>
      <c r="D856" s="308">
        <v>0</v>
      </c>
      <c r="E856" s="308">
        <v>-124500</v>
      </c>
      <c r="F856" s="309">
        <v>0</v>
      </c>
      <c r="G856" s="309">
        <v>0</v>
      </c>
      <c r="H856" s="309">
        <v>0</v>
      </c>
      <c r="I856" s="309" t="s">
        <v>974</v>
      </c>
      <c r="L856" s="648" t="s">
        <v>1149</v>
      </c>
      <c r="O856" s="648" t="s">
        <v>1101</v>
      </c>
    </row>
    <row r="857" spans="1:17">
      <c r="A857" s="309" t="s">
        <v>2661</v>
      </c>
      <c r="C857" s="308">
        <v>0</v>
      </c>
      <c r="D857" s="308">
        <v>0</v>
      </c>
      <c r="E857" s="308">
        <v>0</v>
      </c>
      <c r="F857" s="309">
        <v>0</v>
      </c>
      <c r="G857" s="309">
        <v>0</v>
      </c>
      <c r="H857" s="309">
        <v>0</v>
      </c>
      <c r="I857" s="309" t="s">
        <v>345</v>
      </c>
      <c r="L857" s="648" t="s">
        <v>347</v>
      </c>
      <c r="O857" s="648" t="s">
        <v>348</v>
      </c>
    </row>
    <row r="858" spans="1:17">
      <c r="A858" s="309" t="s">
        <v>2662</v>
      </c>
      <c r="C858" s="308">
        <v>0</v>
      </c>
      <c r="D858" s="308">
        <v>0</v>
      </c>
      <c r="E858" s="308">
        <v>2000</v>
      </c>
      <c r="F858" s="309">
        <v>0</v>
      </c>
      <c r="G858" s="309">
        <v>0</v>
      </c>
      <c r="H858" s="309">
        <v>0</v>
      </c>
      <c r="I858" s="309" t="s">
        <v>73</v>
      </c>
      <c r="L858" s="648" t="s">
        <v>3588</v>
      </c>
    </row>
    <row r="859" spans="1:17">
      <c r="A859" s="309" t="s">
        <v>2663</v>
      </c>
      <c r="C859" s="308">
        <v>0</v>
      </c>
      <c r="D859" s="308">
        <v>0</v>
      </c>
      <c r="E859" s="308">
        <v>-1114.5</v>
      </c>
      <c r="F859" s="309">
        <v>0</v>
      </c>
      <c r="G859" s="309">
        <v>0</v>
      </c>
      <c r="H859" s="309">
        <v>0</v>
      </c>
      <c r="I859" s="309" t="s">
        <v>2664</v>
      </c>
      <c r="L859" s="648" t="s">
        <v>2665</v>
      </c>
    </row>
    <row r="860" spans="1:17">
      <c r="A860" s="309" t="s">
        <v>2666</v>
      </c>
      <c r="C860" s="308">
        <v>0</v>
      </c>
      <c r="D860" s="308">
        <v>0</v>
      </c>
      <c r="E860" s="308">
        <v>0</v>
      </c>
      <c r="F860" s="309">
        <v>0</v>
      </c>
      <c r="G860" s="309">
        <v>0</v>
      </c>
      <c r="H860" s="309">
        <v>0</v>
      </c>
      <c r="I860" s="309" t="s">
        <v>2667</v>
      </c>
      <c r="L860" s="648" t="s">
        <v>3267</v>
      </c>
      <c r="O860" s="648" t="s">
        <v>2668</v>
      </c>
    </row>
    <row r="861" spans="1:17">
      <c r="A861" s="309" t="s">
        <v>2669</v>
      </c>
      <c r="C861" s="308">
        <v>0</v>
      </c>
      <c r="D861" s="308">
        <v>0</v>
      </c>
      <c r="E861" s="308">
        <v>0</v>
      </c>
      <c r="F861" s="309">
        <v>0</v>
      </c>
      <c r="G861" s="309">
        <v>0</v>
      </c>
      <c r="H861" s="309">
        <v>0</v>
      </c>
      <c r="I861" s="309" t="s">
        <v>2667</v>
      </c>
      <c r="L861" s="648" t="s">
        <v>2670</v>
      </c>
      <c r="O861" s="648" t="s">
        <v>2671</v>
      </c>
      <c r="P861" s="648" t="s">
        <v>2672</v>
      </c>
    </row>
    <row r="862" spans="1:17">
      <c r="A862" s="309" t="s">
        <v>2673</v>
      </c>
      <c r="C862" s="308">
        <v>0</v>
      </c>
      <c r="D862" s="308">
        <v>0</v>
      </c>
      <c r="E862" s="308">
        <v>0</v>
      </c>
      <c r="F862" s="309">
        <v>0</v>
      </c>
      <c r="G862" s="309">
        <v>0</v>
      </c>
      <c r="H862" s="309">
        <v>0</v>
      </c>
      <c r="I862" s="309" t="s">
        <v>2667</v>
      </c>
      <c r="L862" s="648" t="s">
        <v>2674</v>
      </c>
      <c r="O862" s="648" t="s">
        <v>2675</v>
      </c>
    </row>
    <row r="863" spans="1:17">
      <c r="A863" s="309" t="s">
        <v>2676</v>
      </c>
      <c r="C863" s="308">
        <v>0</v>
      </c>
      <c r="D863" s="308">
        <v>0</v>
      </c>
      <c r="E863" s="308">
        <v>0</v>
      </c>
      <c r="F863" s="309">
        <v>0</v>
      </c>
      <c r="G863" s="309">
        <v>0</v>
      </c>
      <c r="H863" s="309">
        <v>0</v>
      </c>
      <c r="I863" s="309" t="s">
        <v>2667</v>
      </c>
      <c r="L863" s="648" t="s">
        <v>2677</v>
      </c>
      <c r="O863" s="648" t="s">
        <v>2678</v>
      </c>
      <c r="P863" s="648" t="s">
        <v>2679</v>
      </c>
    </row>
    <row r="864" spans="1:17">
      <c r="A864" s="309" t="s">
        <v>2680</v>
      </c>
      <c r="C864" s="308">
        <v>0</v>
      </c>
      <c r="D864" s="308">
        <v>0</v>
      </c>
      <c r="E864" s="308">
        <v>0</v>
      </c>
      <c r="F864" s="309">
        <v>0</v>
      </c>
      <c r="G864" s="309">
        <v>0</v>
      </c>
      <c r="H864" s="309">
        <v>0</v>
      </c>
      <c r="I864" s="309" t="s">
        <v>2667</v>
      </c>
      <c r="L864" s="648" t="s">
        <v>2681</v>
      </c>
      <c r="O864" s="648" t="s">
        <v>2682</v>
      </c>
    </row>
    <row r="865" spans="1:16">
      <c r="A865" s="309" t="s">
        <v>2683</v>
      </c>
      <c r="C865" s="308">
        <v>0</v>
      </c>
      <c r="D865" s="308">
        <v>0</v>
      </c>
      <c r="E865" s="308">
        <v>0</v>
      </c>
      <c r="F865" s="309">
        <v>0</v>
      </c>
      <c r="G865" s="309">
        <v>0</v>
      </c>
      <c r="H865" s="309">
        <v>0</v>
      </c>
      <c r="I865" s="309" t="s">
        <v>2667</v>
      </c>
      <c r="L865" s="648" t="s">
        <v>3267</v>
      </c>
      <c r="O865" s="648" t="s">
        <v>2684</v>
      </c>
    </row>
    <row r="866" spans="1:16">
      <c r="A866" s="309" t="s">
        <v>2685</v>
      </c>
      <c r="C866" s="308">
        <v>0</v>
      </c>
      <c r="D866" s="308">
        <v>0</v>
      </c>
      <c r="E866" s="308">
        <v>0</v>
      </c>
      <c r="F866" s="309">
        <v>0</v>
      </c>
      <c r="G866" s="309">
        <v>0</v>
      </c>
      <c r="H866" s="309">
        <v>0</v>
      </c>
      <c r="I866" s="309" t="s">
        <v>2667</v>
      </c>
      <c r="L866" s="648" t="s">
        <v>2686</v>
      </c>
      <c r="O866" s="648" t="s">
        <v>2687</v>
      </c>
      <c r="P866" s="648" t="s">
        <v>2688</v>
      </c>
    </row>
    <row r="867" spans="1:16">
      <c r="A867" s="309" t="s">
        <v>2689</v>
      </c>
      <c r="C867" s="308">
        <v>0</v>
      </c>
      <c r="D867" s="308">
        <v>0</v>
      </c>
      <c r="E867" s="308">
        <v>0</v>
      </c>
      <c r="F867" s="309">
        <v>0</v>
      </c>
      <c r="G867" s="309">
        <v>0</v>
      </c>
      <c r="H867" s="309">
        <v>0</v>
      </c>
      <c r="I867" s="309" t="s">
        <v>2667</v>
      </c>
      <c r="L867" s="648" t="s">
        <v>2690</v>
      </c>
      <c r="O867" s="648" t="s">
        <v>2675</v>
      </c>
    </row>
    <row r="868" spans="1:16">
      <c r="A868" s="309" t="s">
        <v>2691</v>
      </c>
      <c r="C868" s="308">
        <v>0</v>
      </c>
      <c r="D868" s="308">
        <v>0</v>
      </c>
      <c r="E868" s="308">
        <v>0</v>
      </c>
      <c r="F868" s="309">
        <v>0</v>
      </c>
      <c r="G868" s="309">
        <v>0</v>
      </c>
      <c r="H868" s="309">
        <v>0</v>
      </c>
      <c r="I868" s="309" t="s">
        <v>2667</v>
      </c>
      <c r="L868" s="648" t="s">
        <v>2692</v>
      </c>
      <c r="O868" s="648" t="s">
        <v>2668</v>
      </c>
    </row>
    <row r="869" spans="1:16">
      <c r="A869" s="309" t="s">
        <v>2693</v>
      </c>
      <c r="C869" s="308">
        <v>0</v>
      </c>
      <c r="D869" s="308">
        <v>0</v>
      </c>
      <c r="E869" s="308">
        <v>0</v>
      </c>
      <c r="F869" s="309">
        <v>0</v>
      </c>
      <c r="G869" s="309">
        <v>0</v>
      </c>
      <c r="H869" s="309">
        <v>0</v>
      </c>
      <c r="I869" s="309" t="s">
        <v>2667</v>
      </c>
      <c r="L869" s="648" t="s">
        <v>2694</v>
      </c>
      <c r="O869" s="648" t="s">
        <v>2695</v>
      </c>
    </row>
    <row r="870" spans="1:16">
      <c r="A870" s="309" t="s">
        <v>2696</v>
      </c>
      <c r="C870" s="308">
        <v>0</v>
      </c>
      <c r="D870" s="308">
        <v>0</v>
      </c>
      <c r="E870" s="308">
        <v>0</v>
      </c>
      <c r="F870" s="309">
        <v>0</v>
      </c>
      <c r="G870" s="309">
        <v>0</v>
      </c>
      <c r="H870" s="309">
        <v>0</v>
      </c>
      <c r="I870" s="309" t="s">
        <v>2667</v>
      </c>
      <c r="L870" s="648" t="s">
        <v>2697</v>
      </c>
      <c r="O870" s="648" t="s">
        <v>2698</v>
      </c>
    </row>
    <row r="871" spans="1:16">
      <c r="A871" s="309" t="s">
        <v>2699</v>
      </c>
      <c r="C871" s="308">
        <v>0</v>
      </c>
      <c r="D871" s="308">
        <v>0</v>
      </c>
      <c r="E871" s="308">
        <v>0</v>
      </c>
      <c r="F871" s="309">
        <v>0</v>
      </c>
      <c r="G871" s="309">
        <v>0</v>
      </c>
      <c r="H871" s="309">
        <v>0</v>
      </c>
      <c r="I871" s="309" t="s">
        <v>2667</v>
      </c>
      <c r="L871" s="648" t="s">
        <v>2700</v>
      </c>
      <c r="O871" s="648" t="s">
        <v>817</v>
      </c>
    </row>
    <row r="872" spans="1:16">
      <c r="A872" s="309" t="s">
        <v>2701</v>
      </c>
      <c r="C872" s="308">
        <v>0</v>
      </c>
      <c r="D872" s="308">
        <v>0</v>
      </c>
      <c r="E872" s="308">
        <v>0</v>
      </c>
      <c r="F872" s="309">
        <v>0</v>
      </c>
      <c r="G872" s="309">
        <v>0</v>
      </c>
      <c r="H872" s="309">
        <v>0</v>
      </c>
      <c r="I872" s="309" t="s">
        <v>2667</v>
      </c>
      <c r="L872" s="648" t="s">
        <v>2702</v>
      </c>
      <c r="O872" s="648" t="s">
        <v>2675</v>
      </c>
    </row>
    <row r="873" spans="1:16">
      <c r="A873" s="309" t="s">
        <v>2703</v>
      </c>
      <c r="C873" s="308">
        <v>0</v>
      </c>
      <c r="D873" s="308">
        <v>0</v>
      </c>
      <c r="E873" s="308">
        <v>0</v>
      </c>
      <c r="F873" s="309">
        <v>0</v>
      </c>
      <c r="G873" s="309">
        <v>0</v>
      </c>
      <c r="H873" s="309">
        <v>0</v>
      </c>
      <c r="I873" s="309" t="s">
        <v>2667</v>
      </c>
      <c r="L873" s="648" t="s">
        <v>2704</v>
      </c>
      <c r="O873" s="648" t="s">
        <v>2698</v>
      </c>
    </row>
    <row r="874" spans="1:16">
      <c r="A874" s="309" t="s">
        <v>2705</v>
      </c>
      <c r="C874" s="308">
        <v>0</v>
      </c>
      <c r="D874" s="308">
        <v>0</v>
      </c>
      <c r="E874" s="308">
        <v>0</v>
      </c>
      <c r="F874" s="309">
        <v>0</v>
      </c>
      <c r="G874" s="309">
        <v>0</v>
      </c>
      <c r="H874" s="309">
        <v>0</v>
      </c>
      <c r="I874" s="309" t="s">
        <v>2623</v>
      </c>
      <c r="L874" s="648" t="s">
        <v>2706</v>
      </c>
    </row>
    <row r="875" spans="1:16">
      <c r="A875" s="309" t="s">
        <v>2707</v>
      </c>
      <c r="C875" s="308">
        <v>0</v>
      </c>
      <c r="D875" s="308">
        <v>0</v>
      </c>
      <c r="E875" s="308">
        <v>-104.39</v>
      </c>
      <c r="F875" s="309">
        <v>0</v>
      </c>
      <c r="G875" s="309">
        <v>0</v>
      </c>
      <c r="H875" s="309">
        <v>0</v>
      </c>
      <c r="I875" s="309" t="s">
        <v>2616</v>
      </c>
      <c r="L875" s="648" t="s">
        <v>780</v>
      </c>
      <c r="O875" s="648" t="s">
        <v>2617</v>
      </c>
      <c r="P875" s="648" t="s">
        <v>2618</v>
      </c>
    </row>
    <row r="876" spans="1:16">
      <c r="A876" s="309" t="s">
        <v>2708</v>
      </c>
      <c r="C876" s="308">
        <v>0</v>
      </c>
      <c r="D876" s="308">
        <v>0</v>
      </c>
      <c r="E876" s="308">
        <v>-55</v>
      </c>
      <c r="F876" s="309">
        <v>0</v>
      </c>
      <c r="G876" s="309">
        <v>0</v>
      </c>
      <c r="H876" s="309">
        <v>0</v>
      </c>
      <c r="I876" s="309" t="s">
        <v>2709</v>
      </c>
    </row>
    <row r="877" spans="1:16">
      <c r="A877" s="309" t="s">
        <v>2710</v>
      </c>
      <c r="C877" s="308">
        <v>-748.06</v>
      </c>
      <c r="D877" s="308">
        <v>0</v>
      </c>
      <c r="E877" s="308">
        <v>-122709.11</v>
      </c>
      <c r="F877" s="309">
        <v>0</v>
      </c>
      <c r="G877" s="309">
        <v>748.06</v>
      </c>
      <c r="H877" s="309">
        <v>9999</v>
      </c>
      <c r="I877" s="309" t="s">
        <v>819</v>
      </c>
      <c r="L877" s="648" t="s">
        <v>2711</v>
      </c>
    </row>
    <row r="878" spans="1:16">
      <c r="A878" s="309" t="s">
        <v>2712</v>
      </c>
      <c r="C878" s="308">
        <v>0</v>
      </c>
      <c r="D878" s="308">
        <v>0</v>
      </c>
      <c r="E878" s="308">
        <v>-57160.53</v>
      </c>
      <c r="F878" s="309">
        <v>0</v>
      </c>
      <c r="G878" s="309">
        <v>0</v>
      </c>
      <c r="H878" s="309">
        <v>0</v>
      </c>
      <c r="I878" s="309" t="s">
        <v>3051</v>
      </c>
      <c r="L878" s="648" t="s">
        <v>2713</v>
      </c>
      <c r="O878" s="648" t="s">
        <v>1074</v>
      </c>
      <c r="P878" s="648" t="s">
        <v>2714</v>
      </c>
    </row>
    <row r="879" spans="1:16">
      <c r="A879" s="309" t="s">
        <v>2715</v>
      </c>
      <c r="C879" s="308">
        <v>0</v>
      </c>
      <c r="D879" s="308">
        <v>0</v>
      </c>
      <c r="E879" s="308">
        <v>-2211571.31</v>
      </c>
      <c r="F879" s="309">
        <v>0</v>
      </c>
      <c r="G879" s="309">
        <v>0</v>
      </c>
      <c r="H879" s="309">
        <v>0</v>
      </c>
      <c r="I879" s="309" t="s">
        <v>2716</v>
      </c>
      <c r="L879" s="648" t="s">
        <v>1074</v>
      </c>
      <c r="O879" s="648" t="s">
        <v>2717</v>
      </c>
    </row>
    <row r="880" spans="1:16">
      <c r="A880" s="309" t="s">
        <v>2718</v>
      </c>
      <c r="C880" s="308">
        <v>2228956.7000000002</v>
      </c>
      <c r="D880" s="308">
        <v>0</v>
      </c>
      <c r="E880" s="308">
        <v>253864.39</v>
      </c>
      <c r="F880" s="309">
        <v>0</v>
      </c>
      <c r="G880" s="309">
        <v>-2228956.7000000002</v>
      </c>
      <c r="H880" s="309">
        <v>-9999</v>
      </c>
      <c r="I880" s="309" t="s">
        <v>3422</v>
      </c>
    </row>
    <row r="881" spans="1:16">
      <c r="A881" s="309" t="s">
        <v>2719</v>
      </c>
      <c r="C881" s="308">
        <v>0</v>
      </c>
      <c r="D881" s="308">
        <v>0</v>
      </c>
      <c r="E881" s="308">
        <v>0</v>
      </c>
      <c r="F881" s="309">
        <v>0</v>
      </c>
      <c r="G881" s="309">
        <v>0</v>
      </c>
      <c r="H881" s="309">
        <v>0</v>
      </c>
      <c r="I881" s="309" t="s">
        <v>689</v>
      </c>
      <c r="L881" s="648" t="s">
        <v>3028</v>
      </c>
      <c r="O881" s="648" t="s">
        <v>3029</v>
      </c>
    </row>
    <row r="882" spans="1:16">
      <c r="A882" s="309" t="s">
        <v>2720</v>
      </c>
      <c r="C882" s="308">
        <v>0</v>
      </c>
      <c r="D882" s="308">
        <v>0</v>
      </c>
      <c r="E882" s="308">
        <v>137613.60999999999</v>
      </c>
      <c r="F882" s="309">
        <v>0</v>
      </c>
      <c r="G882" s="309">
        <v>0</v>
      </c>
      <c r="H882" s="309">
        <v>0</v>
      </c>
      <c r="I882" s="309" t="s">
        <v>2650</v>
      </c>
      <c r="L882" s="648" t="s">
        <v>2721</v>
      </c>
    </row>
    <row r="883" spans="1:16">
      <c r="A883" s="309" t="s">
        <v>2722</v>
      </c>
      <c r="C883" s="308">
        <v>-2087117.44</v>
      </c>
      <c r="D883" s="308">
        <v>0</v>
      </c>
      <c r="E883" s="308">
        <v>-2087117.44</v>
      </c>
      <c r="F883" s="309">
        <v>0</v>
      </c>
      <c r="G883" s="309">
        <v>2087117.44</v>
      </c>
      <c r="H883" s="309">
        <v>9999</v>
      </c>
      <c r="I883" s="309" t="s">
        <v>3253</v>
      </c>
      <c r="L883" s="648" t="s">
        <v>751</v>
      </c>
    </row>
    <row r="884" spans="1:16">
      <c r="A884" s="309" t="s">
        <v>2723</v>
      </c>
      <c r="C884" s="308">
        <v>0</v>
      </c>
      <c r="D884" s="308">
        <v>0</v>
      </c>
      <c r="E884" s="308">
        <v>0</v>
      </c>
      <c r="F884" s="309">
        <v>0</v>
      </c>
      <c r="G884" s="309">
        <v>0</v>
      </c>
      <c r="H884" s="309">
        <v>0</v>
      </c>
      <c r="I884" s="309" t="s">
        <v>3253</v>
      </c>
      <c r="L884" s="648" t="s">
        <v>2647</v>
      </c>
    </row>
    <row r="885" spans="1:16">
      <c r="A885" s="309" t="s">
        <v>2724</v>
      </c>
      <c r="C885" s="308">
        <v>-1220257.8799999999</v>
      </c>
      <c r="D885" s="308">
        <v>0</v>
      </c>
      <c r="E885" s="308">
        <v>-1220257.8799999999</v>
      </c>
      <c r="F885" s="309">
        <v>0</v>
      </c>
      <c r="G885" s="309">
        <v>1220257.8799999999</v>
      </c>
      <c r="H885" s="309">
        <v>9999</v>
      </c>
      <c r="I885" s="309" t="s">
        <v>792</v>
      </c>
      <c r="L885" s="648" t="s">
        <v>2725</v>
      </c>
      <c r="O885" s="648" t="s">
        <v>2726</v>
      </c>
    </row>
    <row r="886" spans="1:16">
      <c r="A886" s="309" t="s">
        <v>2727</v>
      </c>
      <c r="C886" s="308">
        <v>0</v>
      </c>
      <c r="D886" s="308">
        <v>0</v>
      </c>
      <c r="E886" s="308">
        <v>0</v>
      </c>
      <c r="F886" s="309">
        <v>0</v>
      </c>
      <c r="G886" s="309">
        <v>0</v>
      </c>
      <c r="H886" s="309">
        <v>0</v>
      </c>
      <c r="I886" s="309" t="s">
        <v>792</v>
      </c>
      <c r="L886" s="648" t="s">
        <v>2725</v>
      </c>
      <c r="O886" s="648" t="s">
        <v>2726</v>
      </c>
    </row>
    <row r="887" spans="1:16">
      <c r="A887" s="309" t="s">
        <v>2728</v>
      </c>
      <c r="C887" s="308">
        <v>639331.81999999995</v>
      </c>
      <c r="D887" s="308">
        <v>0</v>
      </c>
      <c r="E887" s="308">
        <v>639331.81999999995</v>
      </c>
      <c r="F887" s="309">
        <v>0</v>
      </c>
      <c r="G887" s="309">
        <v>-639331.81999999995</v>
      </c>
      <c r="H887" s="309">
        <v>-9999</v>
      </c>
      <c r="I887" s="309" t="s">
        <v>2729</v>
      </c>
      <c r="L887" s="648" t="s">
        <v>2730</v>
      </c>
    </row>
    <row r="888" spans="1:16">
      <c r="A888" s="309" t="s">
        <v>2731</v>
      </c>
      <c r="C888" s="308">
        <v>-2544177.0699999998</v>
      </c>
      <c r="D888" s="308">
        <v>0</v>
      </c>
      <c r="E888" s="308">
        <v>-2544177.0699999998</v>
      </c>
      <c r="F888" s="309">
        <v>0</v>
      </c>
      <c r="G888" s="309">
        <v>2544177.0699999998</v>
      </c>
      <c r="H888" s="309">
        <v>9999</v>
      </c>
      <c r="I888" s="309" t="s">
        <v>2729</v>
      </c>
      <c r="L888" s="648" t="s">
        <v>2730</v>
      </c>
      <c r="O888" s="648" t="s">
        <v>2732</v>
      </c>
    </row>
    <row r="889" spans="1:16">
      <c r="A889" s="309" t="s">
        <v>2733</v>
      </c>
      <c r="C889" s="308">
        <v>0</v>
      </c>
      <c r="D889" s="308">
        <v>0</v>
      </c>
      <c r="E889" s="308">
        <v>0</v>
      </c>
      <c r="F889" s="309">
        <v>0</v>
      </c>
      <c r="G889" s="309">
        <v>0</v>
      </c>
      <c r="H889" s="309">
        <v>0</v>
      </c>
      <c r="I889" s="309" t="s">
        <v>93</v>
      </c>
      <c r="L889" s="648" t="s">
        <v>2734</v>
      </c>
    </row>
    <row r="890" spans="1:16">
      <c r="A890" s="309" t="s">
        <v>2735</v>
      </c>
      <c r="C890" s="308">
        <v>0</v>
      </c>
      <c r="D890" s="308">
        <v>0</v>
      </c>
      <c r="E890" s="308">
        <v>0</v>
      </c>
      <c r="F890" s="309">
        <v>0</v>
      </c>
      <c r="G890" s="309">
        <v>0</v>
      </c>
      <c r="H890" s="309">
        <v>0</v>
      </c>
      <c r="I890" s="309" t="s">
        <v>765</v>
      </c>
      <c r="L890" s="648" t="s">
        <v>780</v>
      </c>
      <c r="O890" s="648" t="s">
        <v>751</v>
      </c>
    </row>
    <row r="891" spans="1:16">
      <c r="A891" s="309" t="s">
        <v>2736</v>
      </c>
      <c r="C891" s="308">
        <v>0</v>
      </c>
      <c r="D891" s="308">
        <v>0</v>
      </c>
      <c r="E891" s="308">
        <v>0</v>
      </c>
      <c r="F891" s="309">
        <v>0</v>
      </c>
      <c r="G891" s="309">
        <v>0</v>
      </c>
      <c r="H891" s="309">
        <v>0</v>
      </c>
      <c r="I891" s="309" t="s">
        <v>765</v>
      </c>
      <c r="L891" s="648" t="s">
        <v>780</v>
      </c>
      <c r="O891" s="648" t="s">
        <v>2647</v>
      </c>
    </row>
    <row r="892" spans="1:16">
      <c r="A892" s="309" t="s">
        <v>2737</v>
      </c>
      <c r="C892" s="308">
        <v>0</v>
      </c>
      <c r="D892" s="308">
        <v>0</v>
      </c>
      <c r="E892" s="308">
        <v>0</v>
      </c>
      <c r="F892" s="309">
        <v>0</v>
      </c>
      <c r="G892" s="309">
        <v>0</v>
      </c>
      <c r="H892" s="309">
        <v>0</v>
      </c>
      <c r="I892" s="309" t="s">
        <v>2738</v>
      </c>
      <c r="L892" s="648" t="s">
        <v>2061</v>
      </c>
      <c r="O892" s="648" t="s">
        <v>1228</v>
      </c>
    </row>
    <row r="893" spans="1:16">
      <c r="A893" s="309" t="s">
        <v>2739</v>
      </c>
      <c r="C893" s="308">
        <v>0</v>
      </c>
      <c r="D893" s="308">
        <v>0</v>
      </c>
      <c r="E893" s="308">
        <v>0</v>
      </c>
      <c r="F893" s="309">
        <v>0</v>
      </c>
      <c r="G893" s="309">
        <v>0</v>
      </c>
      <c r="H893" s="309">
        <v>0</v>
      </c>
      <c r="I893" s="309" t="s">
        <v>2740</v>
      </c>
      <c r="L893" s="648" t="s">
        <v>2741</v>
      </c>
      <c r="O893" s="648" t="s">
        <v>2742</v>
      </c>
    </row>
    <row r="894" spans="1:16">
      <c r="A894" s="309" t="s">
        <v>2743</v>
      </c>
      <c r="C894" s="308">
        <v>0</v>
      </c>
      <c r="D894" s="308">
        <v>0</v>
      </c>
      <c r="E894" s="308">
        <v>0</v>
      </c>
      <c r="F894" s="309">
        <v>0</v>
      </c>
      <c r="G894" s="309">
        <v>0</v>
      </c>
      <c r="H894" s="309">
        <v>0</v>
      </c>
      <c r="I894" s="309" t="s">
        <v>3423</v>
      </c>
      <c r="L894" s="648" t="s">
        <v>2744</v>
      </c>
      <c r="O894" s="648" t="s">
        <v>2338</v>
      </c>
      <c r="P894" s="648" t="s">
        <v>2745</v>
      </c>
    </row>
    <row r="895" spans="1:16">
      <c r="A895" s="309" t="s">
        <v>2746</v>
      </c>
      <c r="C895" s="308">
        <v>-95901.52</v>
      </c>
      <c r="D895" s="308">
        <v>0</v>
      </c>
      <c r="E895" s="308">
        <v>62913.89</v>
      </c>
      <c r="F895" s="309">
        <v>0</v>
      </c>
      <c r="G895" s="309">
        <v>95901.52</v>
      </c>
      <c r="H895" s="309">
        <v>9999</v>
      </c>
      <c r="I895" s="309" t="s">
        <v>769</v>
      </c>
      <c r="L895" s="648" t="s">
        <v>3423</v>
      </c>
      <c r="O895" s="648" t="s">
        <v>795</v>
      </c>
    </row>
    <row r="896" spans="1:16">
      <c r="A896" s="309" t="s">
        <v>2747</v>
      </c>
      <c r="C896" s="308">
        <v>0</v>
      </c>
      <c r="D896" s="308">
        <v>0</v>
      </c>
      <c r="E896" s="308">
        <v>902.66</v>
      </c>
      <c r="F896" s="309">
        <v>0</v>
      </c>
      <c r="G896" s="309">
        <v>0</v>
      </c>
      <c r="H896" s="309">
        <v>0</v>
      </c>
      <c r="I896" s="309" t="s">
        <v>2748</v>
      </c>
      <c r="L896" s="648" t="s">
        <v>2749</v>
      </c>
    </row>
    <row r="897" spans="1:17">
      <c r="A897" s="309" t="s">
        <v>2750</v>
      </c>
      <c r="C897" s="308">
        <v>1067.3</v>
      </c>
      <c r="D897" s="308">
        <v>0</v>
      </c>
      <c r="E897" s="308">
        <v>339</v>
      </c>
      <c r="F897" s="309">
        <v>0</v>
      </c>
      <c r="G897" s="309">
        <v>-1067.3</v>
      </c>
      <c r="H897" s="309">
        <v>-9999</v>
      </c>
      <c r="I897" s="309" t="s">
        <v>2751</v>
      </c>
      <c r="L897" s="648" t="s">
        <v>2752</v>
      </c>
      <c r="O897" s="648" t="s">
        <v>871</v>
      </c>
    </row>
    <row r="898" spans="1:17">
      <c r="A898" s="309" t="s">
        <v>2753</v>
      </c>
      <c r="C898" s="308">
        <v>0</v>
      </c>
      <c r="D898" s="308">
        <v>0</v>
      </c>
      <c r="E898" s="308">
        <v>0</v>
      </c>
      <c r="F898" s="309">
        <v>0</v>
      </c>
      <c r="G898" s="309">
        <v>0</v>
      </c>
      <c r="H898" s="309">
        <v>0</v>
      </c>
      <c r="I898" s="309" t="s">
        <v>3425</v>
      </c>
    </row>
    <row r="899" spans="1:17">
      <c r="A899" s="309" t="s">
        <v>2754</v>
      </c>
      <c r="C899" s="308">
        <v>0</v>
      </c>
      <c r="D899" s="308">
        <v>0</v>
      </c>
      <c r="E899" s="308">
        <v>0</v>
      </c>
      <c r="F899" s="309">
        <v>0</v>
      </c>
      <c r="G899" s="309">
        <v>0</v>
      </c>
      <c r="H899" s="309">
        <v>0</v>
      </c>
      <c r="I899" s="309" t="s">
        <v>2755</v>
      </c>
      <c r="L899" s="648" t="s">
        <v>1074</v>
      </c>
      <c r="O899" s="648" t="s">
        <v>839</v>
      </c>
    </row>
    <row r="900" spans="1:17">
      <c r="A900" s="309" t="s">
        <v>2756</v>
      </c>
      <c r="C900" s="308">
        <v>11060</v>
      </c>
      <c r="D900" s="308">
        <v>0</v>
      </c>
      <c r="E900" s="308">
        <v>11060</v>
      </c>
      <c r="F900" s="309">
        <v>0</v>
      </c>
      <c r="G900" s="309">
        <v>-11060</v>
      </c>
      <c r="H900" s="309">
        <v>-9999</v>
      </c>
      <c r="I900" s="309" t="s">
        <v>2757</v>
      </c>
      <c r="L900" s="648" t="s">
        <v>2758</v>
      </c>
      <c r="O900" s="648" t="s">
        <v>2759</v>
      </c>
    </row>
    <row r="901" spans="1:17">
      <c r="A901" s="309" t="s">
        <v>2760</v>
      </c>
      <c r="C901" s="308">
        <v>0</v>
      </c>
      <c r="D901" s="308">
        <v>0</v>
      </c>
      <c r="E901" s="308">
        <v>0</v>
      </c>
      <c r="F901" s="309">
        <v>0</v>
      </c>
      <c r="G901" s="309">
        <v>0</v>
      </c>
      <c r="H901" s="309">
        <v>0</v>
      </c>
      <c r="I901" s="309" t="s">
        <v>775</v>
      </c>
      <c r="L901" s="648" t="s">
        <v>2761</v>
      </c>
      <c r="O901" s="648" t="s">
        <v>2762</v>
      </c>
    </row>
    <row r="902" spans="1:17">
      <c r="A902" s="309" t="s">
        <v>2763</v>
      </c>
      <c r="C902" s="308">
        <v>0</v>
      </c>
      <c r="D902" s="308">
        <v>0</v>
      </c>
      <c r="E902" s="308">
        <v>205.2</v>
      </c>
      <c r="F902" s="309">
        <v>0</v>
      </c>
      <c r="G902" s="309">
        <v>0</v>
      </c>
      <c r="H902" s="309">
        <v>0</v>
      </c>
      <c r="I902" s="309" t="s">
        <v>3249</v>
      </c>
      <c r="L902" s="648" t="s">
        <v>2764</v>
      </c>
      <c r="O902" s="648" t="s">
        <v>3250</v>
      </c>
    </row>
    <row r="903" spans="1:17">
      <c r="A903" s="309" t="s">
        <v>2765</v>
      </c>
      <c r="C903" s="308">
        <v>11896.39</v>
      </c>
      <c r="D903" s="308">
        <v>0</v>
      </c>
      <c r="E903" s="308">
        <v>11896.39</v>
      </c>
      <c r="F903" s="309">
        <v>0</v>
      </c>
      <c r="G903" s="309">
        <v>-11896.39</v>
      </c>
      <c r="H903" s="309">
        <v>-9999</v>
      </c>
      <c r="I903" s="309" t="s">
        <v>2757</v>
      </c>
      <c r="L903" s="648" t="s">
        <v>2766</v>
      </c>
      <c r="O903" s="648" t="s">
        <v>2767</v>
      </c>
    </row>
    <row r="904" spans="1:17">
      <c r="A904" s="309" t="s">
        <v>2769</v>
      </c>
      <c r="C904" s="308">
        <v>75835.28</v>
      </c>
      <c r="D904" s="308">
        <v>0</v>
      </c>
      <c r="E904" s="308">
        <v>921116.26</v>
      </c>
      <c r="F904" s="309">
        <v>0</v>
      </c>
      <c r="G904" s="309">
        <v>-75835.28</v>
      </c>
      <c r="H904" s="309">
        <v>-9999</v>
      </c>
      <c r="I904" s="309" t="s">
        <v>3426</v>
      </c>
      <c r="L904" s="648" t="s">
        <v>2770</v>
      </c>
      <c r="O904" s="648" t="s">
        <v>2771</v>
      </c>
    </row>
    <row r="905" spans="1:17">
      <c r="A905" s="309" t="s">
        <v>2772</v>
      </c>
      <c r="C905" s="308">
        <v>5895.27</v>
      </c>
      <c r="D905" s="308">
        <v>0</v>
      </c>
      <c r="E905" s="308">
        <v>101392.97</v>
      </c>
      <c r="F905" s="309">
        <v>0</v>
      </c>
      <c r="G905" s="309">
        <v>-5895.27</v>
      </c>
      <c r="H905" s="309">
        <v>-9999</v>
      </c>
      <c r="I905" s="309" t="s">
        <v>893</v>
      </c>
      <c r="L905" s="648" t="s">
        <v>2773</v>
      </c>
      <c r="O905" s="648" t="s">
        <v>1074</v>
      </c>
      <c r="P905" s="648" t="s">
        <v>2774</v>
      </c>
      <c r="Q905" s="648" t="s">
        <v>2775</v>
      </c>
    </row>
    <row r="906" spans="1:17">
      <c r="A906" s="309" t="s">
        <v>2776</v>
      </c>
      <c r="C906" s="308">
        <v>0</v>
      </c>
      <c r="D906" s="308">
        <v>0</v>
      </c>
      <c r="E906" s="308">
        <v>-7000</v>
      </c>
      <c r="F906" s="309">
        <v>0</v>
      </c>
      <c r="G906" s="309">
        <v>0</v>
      </c>
      <c r="H906" s="309">
        <v>0</v>
      </c>
      <c r="I906" s="309" t="s">
        <v>2777</v>
      </c>
      <c r="L906" s="648" t="s">
        <v>2768</v>
      </c>
    </row>
    <row r="907" spans="1:17">
      <c r="A907" s="309" t="s">
        <v>2778</v>
      </c>
      <c r="C907" s="308">
        <v>-297688.61</v>
      </c>
      <c r="D907" s="308">
        <v>0</v>
      </c>
      <c r="E907" s="308">
        <v>983872.27</v>
      </c>
      <c r="F907" s="309">
        <v>0</v>
      </c>
      <c r="G907" s="309">
        <v>297688.61</v>
      </c>
      <c r="H907" s="309">
        <v>9999</v>
      </c>
      <c r="I907" s="309" t="s">
        <v>3426</v>
      </c>
    </row>
    <row r="908" spans="1:17">
      <c r="A908" s="309" t="s">
        <v>2781</v>
      </c>
      <c r="C908" s="308">
        <v>0</v>
      </c>
      <c r="D908" s="308">
        <v>0</v>
      </c>
      <c r="E908" s="308">
        <v>0</v>
      </c>
      <c r="F908" s="309">
        <v>0</v>
      </c>
      <c r="G908" s="309">
        <v>0</v>
      </c>
      <c r="H908" s="309">
        <v>0</v>
      </c>
      <c r="I908" s="309" t="s">
        <v>2779</v>
      </c>
      <c r="L908" s="648" t="s">
        <v>2780</v>
      </c>
    </row>
    <row r="909" spans="1:17">
      <c r="A909" s="309" t="s">
        <v>2784</v>
      </c>
      <c r="C909" s="308">
        <v>0</v>
      </c>
      <c r="D909" s="308">
        <v>0</v>
      </c>
      <c r="E909" s="308">
        <v>0</v>
      </c>
      <c r="F909" s="309">
        <v>0</v>
      </c>
      <c r="G909" s="309">
        <v>0</v>
      </c>
      <c r="H909" s="309">
        <v>0</v>
      </c>
      <c r="I909" s="309" t="s">
        <v>2783</v>
      </c>
      <c r="L909" s="648" t="s">
        <v>2296</v>
      </c>
      <c r="O909" s="648" t="s">
        <v>2785</v>
      </c>
    </row>
    <row r="910" spans="1:17">
      <c r="A910" s="309" t="s">
        <v>2787</v>
      </c>
      <c r="C910" s="308">
        <v>2424521.96</v>
      </c>
      <c r="D910" s="308">
        <v>0</v>
      </c>
      <c r="E910" s="308">
        <v>171769.39</v>
      </c>
      <c r="F910" s="309">
        <v>0</v>
      </c>
      <c r="G910" s="309">
        <v>-2424521.96</v>
      </c>
      <c r="H910" s="309">
        <v>-9999</v>
      </c>
      <c r="I910" s="309" t="s">
        <v>2783</v>
      </c>
      <c r="L910" s="648" t="s">
        <v>2786</v>
      </c>
    </row>
    <row r="911" spans="1:17">
      <c r="A911" s="309" t="s">
        <v>2788</v>
      </c>
      <c r="C911" s="308">
        <v>0</v>
      </c>
      <c r="D911" s="308">
        <v>0</v>
      </c>
      <c r="E911" s="308">
        <v>0</v>
      </c>
      <c r="F911" s="309">
        <v>0</v>
      </c>
      <c r="G911" s="309">
        <v>0</v>
      </c>
      <c r="H911" s="309">
        <v>0</v>
      </c>
      <c r="I911" s="309" t="s">
        <v>2789</v>
      </c>
      <c r="L911" s="648" t="s">
        <v>2790</v>
      </c>
    </row>
    <row r="912" spans="1:17">
      <c r="A912" s="309" t="s">
        <v>2791</v>
      </c>
      <c r="C912" s="308">
        <v>0</v>
      </c>
      <c r="D912" s="308">
        <v>0</v>
      </c>
      <c r="E912" s="308">
        <v>0</v>
      </c>
      <c r="F912" s="309">
        <v>0</v>
      </c>
      <c r="G912" s="309">
        <v>0</v>
      </c>
      <c r="H912" s="309">
        <v>0</v>
      </c>
      <c r="I912" s="309" t="s">
        <v>1203</v>
      </c>
      <c r="L912" s="648" t="s">
        <v>1771</v>
      </c>
    </row>
    <row r="913" spans="1:16">
      <c r="A913" s="309" t="s">
        <v>2793</v>
      </c>
      <c r="C913" s="308">
        <v>-1686994.14</v>
      </c>
      <c r="D913" s="308">
        <v>0</v>
      </c>
      <c r="E913" s="308">
        <v>-740596.89</v>
      </c>
      <c r="F913" s="309">
        <v>0</v>
      </c>
      <c r="G913" s="309">
        <v>1686994.14</v>
      </c>
      <c r="H913" s="309">
        <v>9999</v>
      </c>
      <c r="I913" s="309" t="s">
        <v>2783</v>
      </c>
      <c r="L913" s="648" t="s">
        <v>2792</v>
      </c>
    </row>
    <row r="914" spans="1:16">
      <c r="A914" s="309" t="s">
        <v>2795</v>
      </c>
      <c r="C914" s="308">
        <v>0</v>
      </c>
      <c r="D914" s="308">
        <v>0</v>
      </c>
      <c r="E914" s="308">
        <v>0</v>
      </c>
      <c r="F914" s="309">
        <v>0</v>
      </c>
      <c r="G914" s="309">
        <v>0</v>
      </c>
      <c r="H914" s="309">
        <v>0</v>
      </c>
      <c r="I914" s="309" t="s">
        <v>2783</v>
      </c>
      <c r="L914" s="648" t="s">
        <v>2794</v>
      </c>
    </row>
    <row r="915" spans="1:16">
      <c r="A915" s="309" t="s">
        <v>2798</v>
      </c>
      <c r="C915" s="308">
        <v>-9575.35</v>
      </c>
      <c r="D915" s="308">
        <v>0</v>
      </c>
      <c r="E915" s="308">
        <v>-111705.77</v>
      </c>
      <c r="F915" s="309">
        <v>0</v>
      </c>
      <c r="G915" s="309">
        <v>9575.35</v>
      </c>
      <c r="H915" s="309">
        <v>9999</v>
      </c>
      <c r="I915" s="309" t="s">
        <v>2796</v>
      </c>
      <c r="L915" s="648" t="s">
        <v>2797</v>
      </c>
      <c r="O915" s="648" t="s">
        <v>2799</v>
      </c>
    </row>
    <row r="916" spans="1:16">
      <c r="A916" s="309" t="s">
        <v>2800</v>
      </c>
      <c r="C916" s="308">
        <v>0</v>
      </c>
      <c r="D916" s="308">
        <v>0</v>
      </c>
      <c r="E916" s="308">
        <v>0</v>
      </c>
      <c r="F916" s="309">
        <v>0</v>
      </c>
      <c r="G916" s="309">
        <v>0</v>
      </c>
      <c r="H916" s="309">
        <v>0</v>
      </c>
      <c r="I916" s="309" t="s">
        <v>2796</v>
      </c>
      <c r="L916" s="648" t="s">
        <v>2797</v>
      </c>
      <c r="O916" s="648" t="s">
        <v>115</v>
      </c>
    </row>
    <row r="917" spans="1:16">
      <c r="A917" s="309" t="s">
        <v>2802</v>
      </c>
      <c r="C917" s="308">
        <v>6905313.6699999999</v>
      </c>
      <c r="D917" s="308">
        <v>0</v>
      </c>
      <c r="E917" s="308">
        <v>-670926.26</v>
      </c>
      <c r="F917" s="309">
        <v>0</v>
      </c>
      <c r="G917" s="309">
        <v>-6905313.6699999999</v>
      </c>
      <c r="H917" s="309">
        <v>-9999</v>
      </c>
      <c r="I917" s="309" t="s">
        <v>2801</v>
      </c>
      <c r="L917" s="648" t="s">
        <v>2782</v>
      </c>
      <c r="O917" s="648" t="s">
        <v>1696</v>
      </c>
    </row>
    <row r="918" spans="1:16">
      <c r="A918" s="309" t="s">
        <v>1697</v>
      </c>
      <c r="C918" s="308">
        <v>0</v>
      </c>
      <c r="D918" s="308">
        <v>0</v>
      </c>
      <c r="E918" s="308">
        <v>0</v>
      </c>
      <c r="F918" s="309">
        <v>0</v>
      </c>
      <c r="G918" s="309">
        <v>0</v>
      </c>
      <c r="H918" s="309">
        <v>0</v>
      </c>
      <c r="I918" s="309" t="s">
        <v>2783</v>
      </c>
      <c r="L918" s="648" t="s">
        <v>1698</v>
      </c>
      <c r="O918" s="648" t="s">
        <v>1699</v>
      </c>
    </row>
    <row r="919" spans="1:16">
      <c r="A919" s="309" t="s">
        <v>1701</v>
      </c>
      <c r="C919" s="308">
        <v>0</v>
      </c>
      <c r="D919" s="308">
        <v>0</v>
      </c>
      <c r="E919" s="308">
        <v>1066039.5900000001</v>
      </c>
      <c r="F919" s="309">
        <v>0</v>
      </c>
      <c r="G919" s="309">
        <v>0</v>
      </c>
      <c r="H919" s="309">
        <v>0</v>
      </c>
      <c r="I919" s="309" t="s">
        <v>2801</v>
      </c>
      <c r="L919" s="648" t="s">
        <v>1700</v>
      </c>
    </row>
    <row r="920" spans="1:16">
      <c r="A920" s="309" t="s">
        <v>1707</v>
      </c>
      <c r="C920" s="308">
        <v>0</v>
      </c>
      <c r="D920" s="308">
        <v>0</v>
      </c>
      <c r="E920" s="308">
        <v>0</v>
      </c>
      <c r="F920" s="309">
        <v>0</v>
      </c>
      <c r="G920" s="309">
        <v>0</v>
      </c>
      <c r="H920" s="309">
        <v>0</v>
      </c>
      <c r="I920" s="309" t="s">
        <v>1702</v>
      </c>
      <c r="L920" s="648" t="s">
        <v>1703</v>
      </c>
      <c r="O920" s="648" t="s">
        <v>263</v>
      </c>
    </row>
    <row r="921" spans="1:16">
      <c r="A921" s="309" t="s">
        <v>1709</v>
      </c>
      <c r="C921" s="308">
        <v>0</v>
      </c>
      <c r="D921" s="308">
        <v>0</v>
      </c>
      <c r="E921" s="308">
        <v>0</v>
      </c>
      <c r="F921" s="309">
        <v>0</v>
      </c>
      <c r="G921" s="309">
        <v>0</v>
      </c>
      <c r="H921" s="309">
        <v>0</v>
      </c>
      <c r="I921" s="309" t="s">
        <v>1708</v>
      </c>
      <c r="L921" s="648" t="s">
        <v>1703</v>
      </c>
      <c r="O921" s="648" t="s">
        <v>1704</v>
      </c>
      <c r="P921" s="648" t="s">
        <v>2611</v>
      </c>
    </row>
    <row r="922" spans="1:16">
      <c r="A922" s="309" t="s">
        <v>1712</v>
      </c>
      <c r="C922" s="308">
        <v>16.850000000000001</v>
      </c>
      <c r="D922" s="308">
        <v>0</v>
      </c>
      <c r="E922" s="308">
        <v>8.82</v>
      </c>
      <c r="F922" s="309">
        <v>0</v>
      </c>
      <c r="G922" s="309">
        <v>-16.850000000000001</v>
      </c>
      <c r="H922" s="309">
        <v>-9999</v>
      </c>
      <c r="I922" s="309" t="s">
        <v>1710</v>
      </c>
      <c r="L922" s="648" t="s">
        <v>1711</v>
      </c>
    </row>
    <row r="923" spans="1:16">
      <c r="A923" s="309" t="s">
        <v>1714</v>
      </c>
      <c r="C923" s="308">
        <v>0</v>
      </c>
      <c r="D923" s="308">
        <v>0</v>
      </c>
      <c r="E923" s="308">
        <v>5458.55</v>
      </c>
      <c r="F923" s="309">
        <v>0</v>
      </c>
      <c r="G923" s="309">
        <v>0</v>
      </c>
      <c r="H923" s="309">
        <v>0</v>
      </c>
      <c r="I923" s="309" t="s">
        <v>1713</v>
      </c>
      <c r="L923" s="648" t="s">
        <v>2801</v>
      </c>
      <c r="O923" s="648" t="s">
        <v>2782</v>
      </c>
    </row>
    <row r="924" spans="1:16">
      <c r="A924" s="309" t="s">
        <v>1716</v>
      </c>
      <c r="C924" s="308">
        <v>0</v>
      </c>
      <c r="D924" s="308">
        <v>0</v>
      </c>
      <c r="E924" s="308">
        <v>0</v>
      </c>
      <c r="F924" s="309">
        <v>0</v>
      </c>
      <c r="G924" s="309">
        <v>0</v>
      </c>
      <c r="H924" s="309">
        <v>0</v>
      </c>
      <c r="I924" s="309" t="s">
        <v>1715</v>
      </c>
      <c r="L924" s="648" t="s">
        <v>2782</v>
      </c>
    </row>
    <row r="925" spans="1:16">
      <c r="A925" s="309" t="s">
        <v>1719</v>
      </c>
      <c r="C925" s="308">
        <v>130728.31</v>
      </c>
      <c r="D925" s="308">
        <v>0</v>
      </c>
      <c r="E925" s="308">
        <v>0</v>
      </c>
      <c r="F925" s="309">
        <v>0</v>
      </c>
      <c r="G925" s="309">
        <v>-130728.31</v>
      </c>
      <c r="H925" s="309">
        <v>-9999</v>
      </c>
      <c r="I925" s="309" t="s">
        <v>1717</v>
      </c>
      <c r="L925" s="648" t="s">
        <v>1706</v>
      </c>
      <c r="O925" s="648" t="s">
        <v>1718</v>
      </c>
      <c r="P925" s="648" t="s">
        <v>1720</v>
      </c>
    </row>
    <row r="926" spans="1:16">
      <c r="A926" s="309" t="s">
        <v>1722</v>
      </c>
      <c r="C926" s="308">
        <v>-130728.31</v>
      </c>
      <c r="D926" s="308">
        <v>0</v>
      </c>
      <c r="E926" s="308">
        <v>0</v>
      </c>
      <c r="F926" s="309">
        <v>0</v>
      </c>
      <c r="G926" s="309">
        <v>130728.31</v>
      </c>
      <c r="H926" s="309">
        <v>9999</v>
      </c>
      <c r="I926" s="309" t="s">
        <v>2794</v>
      </c>
      <c r="L926" s="648" t="s">
        <v>1721</v>
      </c>
      <c r="O926" s="648" t="s">
        <v>2799</v>
      </c>
    </row>
    <row r="927" spans="1:16">
      <c r="A927" s="309" t="s">
        <v>1724</v>
      </c>
      <c r="C927" s="308">
        <v>0</v>
      </c>
      <c r="D927" s="308">
        <v>0</v>
      </c>
      <c r="E927" s="308">
        <v>0</v>
      </c>
      <c r="F927" s="309">
        <v>0</v>
      </c>
      <c r="G927" s="309">
        <v>0</v>
      </c>
      <c r="H927" s="309">
        <v>0</v>
      </c>
      <c r="I927" s="309" t="s">
        <v>1723</v>
      </c>
      <c r="L927" s="648" t="s">
        <v>1706</v>
      </c>
      <c r="O927" s="648" t="s">
        <v>1725</v>
      </c>
    </row>
    <row r="928" spans="1:16">
      <c r="A928" s="309" t="s">
        <v>1730</v>
      </c>
      <c r="C928" s="308">
        <v>-104.04</v>
      </c>
      <c r="D928" s="308">
        <v>0</v>
      </c>
      <c r="E928" s="308">
        <v>0</v>
      </c>
      <c r="F928" s="309">
        <v>0</v>
      </c>
      <c r="G928" s="309">
        <v>104.04</v>
      </c>
      <c r="H928" s="309">
        <v>9999</v>
      </c>
      <c r="I928" s="309" t="s">
        <v>1726</v>
      </c>
      <c r="L928" s="648" t="s">
        <v>1727</v>
      </c>
      <c r="O928" s="648" t="s">
        <v>1728</v>
      </c>
      <c r="P928" s="648" t="s">
        <v>1729</v>
      </c>
    </row>
    <row r="929" spans="1:16">
      <c r="A929" s="309" t="s">
        <v>1731</v>
      </c>
      <c r="C929" s="308">
        <v>0</v>
      </c>
      <c r="D929" s="308">
        <v>0</v>
      </c>
      <c r="E929" s="308">
        <v>0</v>
      </c>
      <c r="F929" s="309">
        <v>0</v>
      </c>
      <c r="G929" s="309">
        <v>0</v>
      </c>
      <c r="H929" s="309">
        <v>0</v>
      </c>
      <c r="I929" s="309" t="s">
        <v>1726</v>
      </c>
      <c r="L929" s="648" t="s">
        <v>1727</v>
      </c>
      <c r="O929" s="648" t="s">
        <v>1705</v>
      </c>
      <c r="P929" s="648" t="s">
        <v>1729</v>
      </c>
    </row>
    <row r="930" spans="1:16">
      <c r="A930" s="309" t="s">
        <v>1732</v>
      </c>
      <c r="C930" s="308">
        <v>0</v>
      </c>
      <c r="D930" s="308">
        <v>0</v>
      </c>
      <c r="E930" s="308">
        <v>0</v>
      </c>
      <c r="F930" s="309">
        <v>0</v>
      </c>
      <c r="G930" s="309">
        <v>0</v>
      </c>
      <c r="H930" s="309">
        <v>0</v>
      </c>
      <c r="I930" s="309" t="s">
        <v>1726</v>
      </c>
      <c r="L930" s="648" t="s">
        <v>1727</v>
      </c>
      <c r="O930" s="648" t="s">
        <v>1705</v>
      </c>
      <c r="P930" s="648" t="s">
        <v>1729</v>
      </c>
    </row>
    <row r="931" spans="1:16">
      <c r="A931" s="309" t="s">
        <v>1733</v>
      </c>
      <c r="C931" s="308">
        <v>0</v>
      </c>
      <c r="D931" s="308">
        <v>0</v>
      </c>
      <c r="E931" s="308">
        <v>0</v>
      </c>
      <c r="F931" s="309">
        <v>0</v>
      </c>
      <c r="G931" s="309">
        <v>0</v>
      </c>
      <c r="H931" s="309">
        <v>0</v>
      </c>
      <c r="I931" s="309" t="s">
        <v>1726</v>
      </c>
      <c r="L931" s="648" t="s">
        <v>1727</v>
      </c>
      <c r="O931" s="648" t="s">
        <v>1705</v>
      </c>
      <c r="P931" s="648" t="s">
        <v>1729</v>
      </c>
    </row>
    <row r="932" spans="1:16">
      <c r="A932" s="309" t="s">
        <v>1735</v>
      </c>
      <c r="C932" s="308">
        <v>0</v>
      </c>
      <c r="D932" s="308">
        <v>0</v>
      </c>
      <c r="E932" s="308">
        <v>0</v>
      </c>
      <c r="F932" s="309">
        <v>0</v>
      </c>
      <c r="G932" s="309">
        <v>0</v>
      </c>
      <c r="H932" s="309">
        <v>0</v>
      </c>
      <c r="I932" s="309" t="s">
        <v>1734</v>
      </c>
      <c r="L932" s="648" t="s">
        <v>1736</v>
      </c>
    </row>
    <row r="933" spans="1:16">
      <c r="A933" s="309" t="s">
        <v>1739</v>
      </c>
      <c r="C933" s="308">
        <v>0</v>
      </c>
      <c r="D933" s="308">
        <v>0</v>
      </c>
      <c r="E933" s="308">
        <v>-13431.23</v>
      </c>
      <c r="F933" s="309">
        <v>0</v>
      </c>
      <c r="G933" s="309">
        <v>0</v>
      </c>
      <c r="H933" s="309">
        <v>0</v>
      </c>
      <c r="I933" s="309" t="s">
        <v>1737</v>
      </c>
      <c r="L933" s="648" t="s">
        <v>1738</v>
      </c>
    </row>
    <row r="934" spans="1:16">
      <c r="A934" s="309" t="s">
        <v>1741</v>
      </c>
      <c r="C934" s="308">
        <v>-1619314.19</v>
      </c>
      <c r="D934" s="308">
        <v>0</v>
      </c>
      <c r="E934" s="308">
        <v>-6697286.25</v>
      </c>
      <c r="F934" s="309">
        <v>0</v>
      </c>
      <c r="G934" s="309">
        <v>1619314.19</v>
      </c>
      <c r="H934" s="309">
        <v>9999</v>
      </c>
      <c r="I934" s="309" t="s">
        <v>1742</v>
      </c>
      <c r="L934" s="648" t="s">
        <v>1740</v>
      </c>
    </row>
    <row r="935" spans="1:16">
      <c r="A935" s="309" t="s">
        <v>1743</v>
      </c>
      <c r="C935" s="308">
        <v>1.28</v>
      </c>
      <c r="D935" s="308">
        <v>0</v>
      </c>
      <c r="E935" s="308">
        <v>1.28</v>
      </c>
      <c r="F935" s="309">
        <v>0</v>
      </c>
      <c r="G935" s="309">
        <v>-1.28</v>
      </c>
      <c r="H935" s="309">
        <v>-9999</v>
      </c>
      <c r="I935" s="309" t="s">
        <v>1744</v>
      </c>
      <c r="L935" s="648" t="s">
        <v>1745</v>
      </c>
    </row>
    <row r="936" spans="1:16">
      <c r="A936" s="309" t="s">
        <v>2124</v>
      </c>
      <c r="C936" s="308">
        <v>-7060213.7400000002</v>
      </c>
      <c r="D936" s="308">
        <v>0</v>
      </c>
      <c r="E936" s="308">
        <v>34982.25</v>
      </c>
      <c r="F936" s="309">
        <v>0</v>
      </c>
      <c r="G936" s="309">
        <v>7060213.7400000002</v>
      </c>
      <c r="H936" s="309">
        <v>9999</v>
      </c>
      <c r="I936" s="309" t="s">
        <v>1138</v>
      </c>
      <c r="L936" s="648" t="s">
        <v>2123</v>
      </c>
      <c r="O936" s="648" t="s">
        <v>2125</v>
      </c>
    </row>
    <row r="937" spans="1:16">
      <c r="A937" s="309" t="s">
        <v>2126</v>
      </c>
      <c r="C937" s="308">
        <v>-84316.73</v>
      </c>
      <c r="D937" s="308">
        <v>0</v>
      </c>
      <c r="E937" s="308">
        <v>0</v>
      </c>
      <c r="F937" s="309">
        <v>0</v>
      </c>
      <c r="G937" s="309">
        <v>84316.73</v>
      </c>
      <c r="H937" s="309">
        <v>9999</v>
      </c>
      <c r="I937" s="309" t="s">
        <v>1138</v>
      </c>
      <c r="L937" s="648" t="s">
        <v>1074</v>
      </c>
      <c r="O937" s="648" t="s">
        <v>1740</v>
      </c>
      <c r="P937" s="648" t="s">
        <v>2127</v>
      </c>
    </row>
    <row r="938" spans="1:16">
      <c r="A938" s="309" t="s">
        <v>2128</v>
      </c>
      <c r="C938" s="308">
        <v>0</v>
      </c>
      <c r="D938" s="308">
        <v>0</v>
      </c>
      <c r="E938" s="308">
        <v>0</v>
      </c>
      <c r="F938" s="309">
        <v>0</v>
      </c>
      <c r="G938" s="309">
        <v>0</v>
      </c>
      <c r="H938" s="309">
        <v>0</v>
      </c>
      <c r="I938" s="309" t="s">
        <v>1726</v>
      </c>
      <c r="L938" s="648" t="s">
        <v>1727</v>
      </c>
      <c r="O938" s="648" t="s">
        <v>1705</v>
      </c>
      <c r="P938" s="648" t="s">
        <v>1729</v>
      </c>
    </row>
    <row r="939" spans="1:16">
      <c r="A939" s="309" t="s">
        <v>2131</v>
      </c>
      <c r="C939" s="308">
        <v>0</v>
      </c>
      <c r="D939" s="308">
        <v>0</v>
      </c>
      <c r="E939" s="308">
        <v>0</v>
      </c>
      <c r="F939" s="309">
        <v>0</v>
      </c>
      <c r="G939" s="309">
        <v>0</v>
      </c>
      <c r="H939" s="309">
        <v>0</v>
      </c>
      <c r="I939" s="309" t="s">
        <v>2129</v>
      </c>
      <c r="L939" s="648" t="s">
        <v>2130</v>
      </c>
    </row>
    <row r="940" spans="1:16">
      <c r="A940" s="309" t="s">
        <v>2133</v>
      </c>
      <c r="C940" s="308">
        <v>0</v>
      </c>
      <c r="D940" s="308">
        <v>0</v>
      </c>
      <c r="E940" s="308">
        <v>0</v>
      </c>
      <c r="F940" s="309">
        <v>0</v>
      </c>
      <c r="G940" s="309">
        <v>0</v>
      </c>
      <c r="H940" s="309">
        <v>0</v>
      </c>
      <c r="I940" s="309" t="s">
        <v>2296</v>
      </c>
      <c r="L940" s="648" t="s">
        <v>2132</v>
      </c>
    </row>
    <row r="941" spans="1:16">
      <c r="A941" s="309" t="s">
        <v>2137</v>
      </c>
      <c r="C941" s="308">
        <v>0</v>
      </c>
      <c r="D941" s="308">
        <v>0</v>
      </c>
      <c r="E941" s="308">
        <v>0</v>
      </c>
      <c r="F941" s="309">
        <v>0</v>
      </c>
      <c r="G941" s="309">
        <v>0</v>
      </c>
      <c r="H941" s="309">
        <v>0</v>
      </c>
      <c r="I941" s="309" t="s">
        <v>2134</v>
      </c>
      <c r="L941" s="648" t="s">
        <v>2135</v>
      </c>
      <c r="O941" s="648" t="s">
        <v>2136</v>
      </c>
    </row>
    <row r="942" spans="1:16">
      <c r="A942" s="309" t="s">
        <v>2138</v>
      </c>
      <c r="C942" s="308">
        <v>-70185.39</v>
      </c>
      <c r="D942" s="308">
        <v>1767511</v>
      </c>
      <c r="E942" s="308">
        <v>-1697001.82</v>
      </c>
      <c r="F942" s="309">
        <v>14.95</v>
      </c>
      <c r="G942" s="309">
        <v>1837681.44</v>
      </c>
      <c r="H942" s="309">
        <v>104</v>
      </c>
    </row>
  </sheetData>
  <autoFilter ref="A1:T653"/>
  <phoneticPr fontId="34" type="noConversion"/>
  <printOptions horizontalCentered="1"/>
  <pageMargins left="0.78740157480314965" right="0.39370078740157483" top="0.39370078740157483" bottom="0.39370078740157483" header="0" footer="0"/>
  <pageSetup paperSize="9" scale="28" fitToHeight="35" orientation="portrait" r:id="rId1"/>
  <headerFooter alignWithMargins="0"/>
</worksheet>
</file>

<file path=xl/worksheets/sheet10.xml><?xml version="1.0" encoding="utf-8"?>
<worksheet xmlns="http://schemas.openxmlformats.org/spreadsheetml/2006/main" xmlns:r="http://schemas.openxmlformats.org/officeDocument/2006/relationships">
  <dimension ref="A1:P148"/>
  <sheetViews>
    <sheetView view="pageBreakPreview" topLeftCell="A118" zoomScaleSheetLayoutView="100" workbookViewId="0">
      <selection activeCell="A14" sqref="A14"/>
    </sheetView>
  </sheetViews>
  <sheetFormatPr defaultRowHeight="12.75"/>
  <cols>
    <col min="1" max="1" width="9.140625" style="863" customWidth="1"/>
    <col min="2" max="2" width="43.7109375" style="810" bestFit="1" customWidth="1"/>
    <col min="3" max="3" width="2.28515625" style="810" customWidth="1"/>
    <col min="4" max="4" width="17" style="864" bestFit="1" customWidth="1"/>
    <col min="5" max="5" width="2.28515625" style="864" customWidth="1"/>
    <col min="6" max="6" width="1.140625" style="864" customWidth="1"/>
    <col min="7" max="7" width="2.28515625" style="864" customWidth="1"/>
    <col min="8" max="8" width="17.7109375" style="864" bestFit="1" customWidth="1"/>
    <col min="9" max="9" width="2.28515625" style="810" customWidth="1"/>
    <col min="10" max="10" width="3.140625" style="810" customWidth="1"/>
    <col min="11" max="11" width="26.5703125" style="809" bestFit="1" customWidth="1"/>
    <col min="12" max="12" width="14.5703125" style="809" bestFit="1" customWidth="1"/>
    <col min="13" max="13" width="17.28515625" style="809" bestFit="1" customWidth="1"/>
    <col min="14" max="14" width="18.140625" style="809" bestFit="1" customWidth="1"/>
    <col min="15" max="15" width="11.28515625" style="809" bestFit="1" customWidth="1"/>
    <col min="16" max="16" width="9.140625" style="809" customWidth="1"/>
    <col min="17" max="16384" width="9.140625" style="810"/>
  </cols>
  <sheetData>
    <row r="1" spans="1:16">
      <c r="A1" s="1334" t="s">
        <v>3476</v>
      </c>
      <c r="B1" s="1334"/>
      <c r="C1" s="1334"/>
      <c r="D1" s="1334"/>
      <c r="E1" s="1334"/>
      <c r="F1" s="1334"/>
      <c r="G1" s="1334"/>
      <c r="H1" s="1334"/>
      <c r="I1" s="1334"/>
      <c r="J1" s="1334"/>
    </row>
    <row r="2" spans="1:16">
      <c r="A2" s="1335" t="s">
        <v>3100</v>
      </c>
      <c r="B2" s="1335"/>
      <c r="C2" s="1335"/>
      <c r="D2" s="1335"/>
      <c r="E2" s="1335"/>
      <c r="F2" s="1335"/>
      <c r="G2" s="1335"/>
      <c r="H2" s="1335"/>
      <c r="I2" s="1335"/>
      <c r="J2" s="1335"/>
      <c r="M2" s="809" t="s">
        <v>1494</v>
      </c>
      <c r="N2" s="809" t="s">
        <v>1493</v>
      </c>
      <c r="O2" s="809" t="s">
        <v>1495</v>
      </c>
      <c r="P2" s="809" t="s">
        <v>1496</v>
      </c>
    </row>
    <row r="3" spans="1:16">
      <c r="A3" s="811"/>
      <c r="B3" s="728"/>
      <c r="C3" s="728"/>
      <c r="D3" s="716"/>
      <c r="E3" s="716"/>
      <c r="F3" s="716"/>
      <c r="G3" s="716"/>
      <c r="H3" s="716"/>
      <c r="I3" s="728"/>
      <c r="J3" s="726"/>
    </row>
    <row r="4" spans="1:16" s="815" customFormat="1">
      <c r="A4" s="811"/>
      <c r="B4" s="732"/>
      <c r="C4" s="732"/>
      <c r="D4" s="730" t="s">
        <v>2241</v>
      </c>
      <c r="E4" s="731"/>
      <c r="F4" s="731"/>
      <c r="G4" s="731"/>
      <c r="H4" s="730" t="s">
        <v>3558</v>
      </c>
      <c r="I4" s="732"/>
      <c r="J4" s="812"/>
      <c r="K4" s="813" t="s">
        <v>1491</v>
      </c>
      <c r="L4" s="814">
        <v>3871632.78</v>
      </c>
      <c r="M4" s="814">
        <v>-3871632.78</v>
      </c>
      <c r="N4" s="814">
        <f>+L4+M4</f>
        <v>0</v>
      </c>
      <c r="O4" s="814"/>
      <c r="P4" s="814">
        <f>+N4+O4</f>
        <v>0</v>
      </c>
    </row>
    <row r="5" spans="1:16" s="815" customFormat="1">
      <c r="A5" s="811"/>
      <c r="B5" s="732"/>
      <c r="C5" s="732"/>
      <c r="D5" s="731" t="s">
        <v>3386</v>
      </c>
      <c r="E5" s="731"/>
      <c r="F5" s="731"/>
      <c r="G5" s="731"/>
      <c r="H5" s="731" t="s">
        <v>3386</v>
      </c>
      <c r="I5" s="732"/>
      <c r="J5" s="812"/>
      <c r="K5" s="813" t="s">
        <v>1492</v>
      </c>
      <c r="L5" s="814">
        <f>-'main TB'!H83</f>
        <v>7919441.6599999983</v>
      </c>
      <c r="M5" s="814">
        <f>-'main TB'!I83</f>
        <v>-8159467.7099999981</v>
      </c>
      <c r="N5" s="814">
        <f>+L5+M5</f>
        <v>-240026.04999999981</v>
      </c>
      <c r="O5" s="814">
        <f>+'main TB'!M83</f>
        <v>240026.0500000001</v>
      </c>
      <c r="P5" s="814">
        <f>+N5+O5</f>
        <v>2.9103830456733704E-10</v>
      </c>
    </row>
    <row r="6" spans="1:16">
      <c r="A6" s="811"/>
      <c r="B6" s="728"/>
      <c r="C6" s="728"/>
      <c r="D6" s="716"/>
      <c r="E6" s="716"/>
      <c r="F6" s="716"/>
      <c r="G6" s="716"/>
      <c r="H6" s="716"/>
      <c r="I6" s="728"/>
      <c r="J6" s="726"/>
      <c r="K6" s="816" t="s">
        <v>3403</v>
      </c>
      <c r="L6" s="809">
        <v>5467785.0899999999</v>
      </c>
      <c r="M6" s="809">
        <v>-5430147.8200000003</v>
      </c>
      <c r="N6" s="814">
        <f>+L6+M6</f>
        <v>37637.269999999553</v>
      </c>
      <c r="P6" s="814">
        <f>+N6+O6</f>
        <v>37637.269999999553</v>
      </c>
    </row>
    <row r="7" spans="1:16" s="819" customFormat="1">
      <c r="A7" s="817" t="s">
        <v>986</v>
      </c>
      <c r="B7" s="738" t="s">
        <v>1835</v>
      </c>
      <c r="C7" s="738"/>
      <c r="D7" s="733">
        <f>SUM(D8+D11)</f>
        <v>-0.21999999944819137</v>
      </c>
      <c r="E7" s="733"/>
      <c r="F7" s="733"/>
      <c r="G7" s="733"/>
      <c r="H7" s="733">
        <f>H8+H11</f>
        <v>-1023150.2299999993</v>
      </c>
      <c r="I7" s="738"/>
      <c r="J7" s="736"/>
      <c r="K7" s="813"/>
      <c r="L7" s="818">
        <f>SUM(L4:L6)+3000</f>
        <v>17261859.529999997</v>
      </c>
      <c r="M7" s="818"/>
      <c r="N7" s="814"/>
      <c r="O7" s="818"/>
      <c r="P7" s="818"/>
    </row>
    <row r="8" spans="1:16" s="819" customFormat="1">
      <c r="A8" s="817"/>
      <c r="B8" s="820" t="s">
        <v>1457</v>
      </c>
      <c r="C8" s="738"/>
      <c r="D8" s="733">
        <f>SUM(D9:D10)</f>
        <v>-0.21999999944819137</v>
      </c>
      <c r="E8" s="733"/>
      <c r="F8" s="733"/>
      <c r="G8" s="733"/>
      <c r="H8" s="733">
        <f>SUM(H9:H10)</f>
        <v>202388.78000000055</v>
      </c>
      <c r="I8" s="738"/>
      <c r="J8" s="736"/>
      <c r="K8" s="813"/>
      <c r="L8" s="818">
        <v>17261859</v>
      </c>
      <c r="M8" s="818"/>
      <c r="N8" s="814"/>
      <c r="O8" s="818"/>
      <c r="P8" s="818"/>
    </row>
    <row r="9" spans="1:16">
      <c r="A9" s="811"/>
      <c r="B9" s="728" t="s">
        <v>1836</v>
      </c>
      <c r="C9" s="728"/>
      <c r="D9" s="741">
        <f>H8</f>
        <v>202388.78000000055</v>
      </c>
      <c r="E9" s="716"/>
      <c r="F9" s="716"/>
      <c r="G9" s="716"/>
      <c r="H9" s="741">
        <f>'main TB'!M12+'main TB'!M83</f>
        <v>202388.78000000055</v>
      </c>
      <c r="I9" s="728"/>
      <c r="J9" s="726"/>
      <c r="N9" s="814"/>
    </row>
    <row r="10" spans="1:16">
      <c r="A10" s="811"/>
      <c r="B10" s="821" t="s">
        <v>1456</v>
      </c>
      <c r="C10" s="728"/>
      <c r="D10" s="740">
        <f>37637-240026</f>
        <v>-202389</v>
      </c>
      <c r="E10" s="716"/>
      <c r="F10" s="716"/>
      <c r="G10" s="716"/>
      <c r="H10" s="739">
        <v>0</v>
      </c>
      <c r="I10" s="728"/>
      <c r="J10" s="726"/>
      <c r="N10" s="814"/>
    </row>
    <row r="11" spans="1:16">
      <c r="A11" s="811"/>
      <c r="B11" s="820" t="s">
        <v>1458</v>
      </c>
      <c r="C11" s="728"/>
      <c r="D11" s="822">
        <f>SUM(D12:D14)</f>
        <v>0</v>
      </c>
      <c r="E11" s="716"/>
      <c r="F11" s="716"/>
      <c r="G11" s="716"/>
      <c r="H11" s="822">
        <f>SUM(H12:H14)</f>
        <v>-1225539.0099999998</v>
      </c>
      <c r="I11" s="728"/>
      <c r="J11" s="726"/>
      <c r="K11" s="809">
        <v>1535097.27</v>
      </c>
      <c r="L11" s="809">
        <v>-1236697.06</v>
      </c>
      <c r="N11" s="814"/>
    </row>
    <row r="12" spans="1:16">
      <c r="A12" s="811"/>
      <c r="B12" s="728" t="s">
        <v>1837</v>
      </c>
      <c r="C12" s="728"/>
      <c r="D12" s="741">
        <f>H11</f>
        <v>-1225539.0099999998</v>
      </c>
      <c r="E12" s="716"/>
      <c r="F12" s="716"/>
      <c r="G12" s="716"/>
      <c r="H12" s="739">
        <f>'main TB'!M15+'main TB'!M16+'main TB'!M19</f>
        <v>-1225539.0099999998</v>
      </c>
      <c r="I12" s="728"/>
      <c r="J12" s="726"/>
      <c r="K12" s="823">
        <f>K11+H7</f>
        <v>511947.04000000074</v>
      </c>
      <c r="L12" s="809">
        <v>-51.47</v>
      </c>
    </row>
    <row r="13" spans="1:16">
      <c r="A13" s="811"/>
      <c r="B13" s="821" t="s">
        <v>1528</v>
      </c>
      <c r="C13" s="728"/>
      <c r="D13" s="739">
        <f>1236697.06+51.47-11209.52</f>
        <v>1225539.01</v>
      </c>
      <c r="E13" s="716"/>
      <c r="F13" s="716"/>
      <c r="G13" s="716"/>
      <c r="H13" s="739">
        <v>0</v>
      </c>
      <c r="I13" s="728"/>
      <c r="J13" s="726"/>
      <c r="L13" s="809">
        <v>11209.52</v>
      </c>
    </row>
    <row r="14" spans="1:16">
      <c r="A14" s="811"/>
      <c r="B14" s="821" t="s">
        <v>1456</v>
      </c>
      <c r="C14" s="728"/>
      <c r="D14" s="740"/>
      <c r="E14" s="716"/>
      <c r="F14" s="716"/>
      <c r="G14" s="716"/>
      <c r="H14" s="740">
        <v>0</v>
      </c>
      <c r="I14" s="728"/>
      <c r="J14" s="726"/>
      <c r="L14" s="809">
        <v>0</v>
      </c>
    </row>
    <row r="15" spans="1:16">
      <c r="A15" s="811"/>
      <c r="B15" s="728"/>
      <c r="C15" s="728"/>
      <c r="D15" s="716"/>
      <c r="E15" s="716"/>
      <c r="F15" s="716"/>
      <c r="G15" s="716"/>
      <c r="H15" s="716"/>
      <c r="I15" s="728"/>
      <c r="J15" s="726"/>
      <c r="L15" s="809">
        <v>240026.05</v>
      </c>
    </row>
    <row r="16" spans="1:16">
      <c r="A16" s="824"/>
      <c r="B16" s="825"/>
      <c r="C16" s="825"/>
      <c r="D16" s="826"/>
      <c r="E16" s="826"/>
      <c r="F16" s="826"/>
      <c r="G16" s="826"/>
      <c r="H16" s="826"/>
      <c r="I16" s="825"/>
      <c r="J16" s="827"/>
      <c r="L16" s="809">
        <f>SUM(L11:L15)</f>
        <v>-985512.95999999996</v>
      </c>
    </row>
    <row r="17" spans="1:16" ht="18">
      <c r="A17" s="817" t="s">
        <v>987</v>
      </c>
      <c r="B17" s="738" t="s">
        <v>690</v>
      </c>
      <c r="C17" s="738"/>
      <c r="D17" s="733">
        <f>SUM(D20+D28+D36)</f>
        <v>76985263.879999995</v>
      </c>
      <c r="E17" s="733"/>
      <c r="F17" s="733"/>
      <c r="G17" s="733"/>
      <c r="H17" s="733">
        <f>+H20+H28</f>
        <v>-3439836.49</v>
      </c>
      <c r="I17" s="738"/>
      <c r="J17" s="828"/>
      <c r="K17" s="809" t="s">
        <v>1497</v>
      </c>
      <c r="M17" s="809">
        <f>SUM(M4:M16)</f>
        <v>-17461248.309999999</v>
      </c>
      <c r="N17" s="1191">
        <f>SUM(N4:N16)</f>
        <v>-202388.78000000026</v>
      </c>
      <c r="O17" s="809">
        <f>SUM(O5:O16)</f>
        <v>240026.0500000001</v>
      </c>
    </row>
    <row r="18" spans="1:16">
      <c r="A18" s="811"/>
      <c r="B18" s="738"/>
      <c r="C18" s="738"/>
      <c r="D18" s="733"/>
      <c r="E18" s="733"/>
      <c r="F18" s="733"/>
      <c r="G18" s="733"/>
      <c r="H18" s="733"/>
      <c r="I18" s="738"/>
      <c r="J18" s="736"/>
    </row>
    <row r="19" spans="1:16">
      <c r="A19" s="811"/>
      <c r="B19" s="728"/>
      <c r="C19" s="728"/>
      <c r="D19" s="716"/>
      <c r="E19" s="716"/>
      <c r="F19" s="716"/>
      <c r="G19" s="716"/>
      <c r="H19" s="716"/>
      <c r="I19" s="728"/>
      <c r="J19" s="726"/>
    </row>
    <row r="20" spans="1:16">
      <c r="A20" s="811"/>
      <c r="B20" s="738" t="s">
        <v>694</v>
      </c>
      <c r="C20" s="829"/>
      <c r="D20" s="830">
        <f>SUM(D21:D25)</f>
        <v>-5542919.1299999999</v>
      </c>
      <c r="E20" s="831"/>
      <c r="F20" s="733"/>
      <c r="G20" s="832"/>
      <c r="H20" s="830">
        <f>SUM(H21:H25)</f>
        <v>-3439196.5</v>
      </c>
      <c r="I20" s="833"/>
      <c r="J20" s="736"/>
      <c r="K20" s="809">
        <f>'main TB'!U23</f>
        <v>-5542919.1299999999</v>
      </c>
    </row>
    <row r="21" spans="1:16">
      <c r="A21" s="811"/>
      <c r="B21" s="834" t="s">
        <v>687</v>
      </c>
      <c r="C21" s="724"/>
      <c r="D21" s="741">
        <f>H20</f>
        <v>-3439196.5</v>
      </c>
      <c r="E21" s="835"/>
      <c r="F21" s="716"/>
      <c r="G21" s="836"/>
      <c r="H21" s="741">
        <v>0</v>
      </c>
      <c r="I21" s="726"/>
      <c r="J21" s="726"/>
      <c r="K21" s="809">
        <f>-'main TB'!Y147</f>
        <v>2568730.25</v>
      </c>
      <c r="L21" s="809">
        <f>3429019.23-11075.47</f>
        <v>3417943.76</v>
      </c>
    </row>
    <row r="22" spans="1:16" s="728" customFormat="1">
      <c r="A22" s="811"/>
      <c r="B22" s="834" t="s">
        <v>3564</v>
      </c>
      <c r="C22" s="724"/>
      <c r="D22" s="739">
        <f>'main TB'!T23</f>
        <v>-2130502.44</v>
      </c>
      <c r="E22" s="835"/>
      <c r="F22" s="716"/>
      <c r="G22" s="836"/>
      <c r="H22" s="739">
        <f>'main TB'!I23</f>
        <v>-21252.74</v>
      </c>
      <c r="I22" s="726"/>
      <c r="J22" s="726"/>
      <c r="K22" s="727">
        <f>+H21</f>
        <v>0</v>
      </c>
      <c r="L22" s="727"/>
      <c r="M22" s="727"/>
      <c r="N22" s="727"/>
      <c r="O22" s="727"/>
      <c r="P22" s="727"/>
    </row>
    <row r="23" spans="1:16">
      <c r="A23" s="811"/>
      <c r="B23" s="834" t="s">
        <v>3565</v>
      </c>
      <c r="C23" s="724"/>
      <c r="D23" s="739">
        <f>'main TB'!N23</f>
        <v>26779.809999999998</v>
      </c>
      <c r="E23" s="835"/>
      <c r="F23" s="716"/>
      <c r="G23" s="836"/>
      <c r="H23" s="739">
        <f>'main TB'!L23</f>
        <v>-3417943.76</v>
      </c>
      <c r="I23" s="726"/>
      <c r="J23" s="726"/>
      <c r="K23" s="809">
        <f>+K21-K22</f>
        <v>2568730.25</v>
      </c>
      <c r="M23" s="818"/>
    </row>
    <row r="24" spans="1:16">
      <c r="A24" s="811"/>
      <c r="B24" s="834" t="s">
        <v>692</v>
      </c>
      <c r="C24" s="724"/>
      <c r="D24" s="739"/>
      <c r="E24" s="835"/>
      <c r="F24" s="716"/>
      <c r="G24" s="836"/>
      <c r="H24" s="739"/>
      <c r="I24" s="726"/>
      <c r="J24" s="726"/>
    </row>
    <row r="25" spans="1:16">
      <c r="A25" s="811"/>
      <c r="B25" s="834" t="s">
        <v>693</v>
      </c>
      <c r="C25" s="724"/>
      <c r="D25" s="740"/>
      <c r="E25" s="835"/>
      <c r="F25" s="716"/>
      <c r="G25" s="836"/>
      <c r="H25" s="740"/>
      <c r="I25" s="726"/>
      <c r="J25" s="726"/>
    </row>
    <row r="26" spans="1:16">
      <c r="A26" s="811"/>
      <c r="B26" s="728"/>
      <c r="C26" s="743"/>
      <c r="D26" s="745"/>
      <c r="E26" s="837"/>
      <c r="F26" s="716"/>
      <c r="G26" s="838"/>
      <c r="H26" s="745"/>
      <c r="I26" s="746"/>
      <c r="J26" s="726"/>
      <c r="L26" s="809">
        <f>L8-L7</f>
        <v>-0.5299999974668026</v>
      </c>
      <c r="M26" s="809">
        <f>-M17+H10</f>
        <v>17461248.309999999</v>
      </c>
    </row>
    <row r="27" spans="1:16">
      <c r="A27" s="811"/>
      <c r="B27" s="728"/>
      <c r="C27" s="728"/>
      <c r="D27" s="716"/>
      <c r="E27" s="716"/>
      <c r="F27" s="716"/>
      <c r="G27" s="716"/>
      <c r="H27" s="716"/>
      <c r="I27" s="728"/>
      <c r="J27" s="726"/>
      <c r="M27" s="809">
        <f>SUM(M17:M26)</f>
        <v>0</v>
      </c>
    </row>
    <row r="28" spans="1:16" ht="25.5">
      <c r="A28" s="811"/>
      <c r="B28" s="839" t="s">
        <v>695</v>
      </c>
      <c r="C28" s="840"/>
      <c r="D28" s="830">
        <f>SUM(D29:D33)</f>
        <v>-319.99</v>
      </c>
      <c r="E28" s="831"/>
      <c r="F28" s="733"/>
      <c r="G28" s="832"/>
      <c r="H28" s="830">
        <f>SUM(H29:H33)</f>
        <v>-639.99</v>
      </c>
      <c r="I28" s="827"/>
      <c r="J28" s="726"/>
    </row>
    <row r="29" spans="1:16">
      <c r="A29" s="811"/>
      <c r="B29" s="834" t="s">
        <v>687</v>
      </c>
      <c r="C29" s="724"/>
      <c r="D29" s="741">
        <f>H28</f>
        <v>-639.99</v>
      </c>
      <c r="E29" s="835"/>
      <c r="F29" s="716"/>
      <c r="G29" s="836"/>
      <c r="H29" s="741">
        <f>'main TB'!M24</f>
        <v>-639.99</v>
      </c>
      <c r="I29" s="726"/>
      <c r="J29" s="726"/>
    </row>
    <row r="30" spans="1:16">
      <c r="A30" s="811"/>
      <c r="B30" s="834" t="s">
        <v>3564</v>
      </c>
      <c r="C30" s="724"/>
      <c r="D30" s="739">
        <v>0</v>
      </c>
      <c r="E30" s="835"/>
      <c r="F30" s="716"/>
      <c r="G30" s="836"/>
      <c r="H30" s="739"/>
      <c r="I30" s="726"/>
      <c r="J30" s="726"/>
    </row>
    <row r="31" spans="1:16">
      <c r="A31" s="811"/>
      <c r="B31" s="834" t="s">
        <v>3565</v>
      </c>
      <c r="C31" s="724"/>
      <c r="D31" s="739">
        <f>'main TB'!N24</f>
        <v>320</v>
      </c>
      <c r="E31" s="835"/>
      <c r="F31" s="716"/>
      <c r="G31" s="836"/>
      <c r="H31" s="739"/>
      <c r="I31" s="726"/>
      <c r="J31" s="726"/>
    </row>
    <row r="32" spans="1:16">
      <c r="A32" s="811"/>
      <c r="B32" s="834" t="s">
        <v>693</v>
      </c>
      <c r="C32" s="724"/>
      <c r="D32" s="739"/>
      <c r="E32" s="835"/>
      <c r="F32" s="716"/>
      <c r="G32" s="836"/>
      <c r="H32" s="739"/>
      <c r="I32" s="726"/>
      <c r="J32" s="726"/>
    </row>
    <row r="33" spans="1:16" ht="15" customHeight="1">
      <c r="A33" s="811"/>
      <c r="B33" s="834" t="s">
        <v>696</v>
      </c>
      <c r="C33" s="724"/>
      <c r="D33" s="740"/>
      <c r="E33" s="835"/>
      <c r="F33" s="716"/>
      <c r="G33" s="836"/>
      <c r="H33" s="740"/>
      <c r="I33" s="726"/>
      <c r="J33" s="726"/>
    </row>
    <row r="34" spans="1:16" s="819" customFormat="1">
      <c r="A34" s="811"/>
      <c r="B34" s="841"/>
      <c r="C34" s="743"/>
      <c r="D34" s="745"/>
      <c r="E34" s="837"/>
      <c r="F34" s="716"/>
      <c r="G34" s="838"/>
      <c r="H34" s="745"/>
      <c r="I34" s="746"/>
      <c r="J34" s="726"/>
      <c r="K34" s="818"/>
      <c r="L34" s="818"/>
      <c r="M34" s="818"/>
      <c r="N34" s="818"/>
      <c r="O34" s="818"/>
      <c r="P34" s="818"/>
    </row>
    <row r="35" spans="1:16">
      <c r="A35" s="811"/>
      <c r="B35" s="839"/>
      <c r="C35" s="842"/>
      <c r="D35" s="745"/>
      <c r="E35" s="745"/>
      <c r="F35" s="716"/>
      <c r="G35" s="745"/>
      <c r="H35" s="745"/>
      <c r="I35" s="842"/>
      <c r="J35" s="726"/>
    </row>
    <row r="36" spans="1:16">
      <c r="A36" s="811"/>
      <c r="B36" s="839" t="s">
        <v>2382</v>
      </c>
      <c r="C36" s="724"/>
      <c r="D36" s="733">
        <f>SUM(D37:D41)</f>
        <v>82528503</v>
      </c>
      <c r="E36" s="843"/>
      <c r="F36" s="733"/>
      <c r="G36" s="844"/>
      <c r="H36" s="733">
        <f>SUM(H37:H41)</f>
        <v>0</v>
      </c>
      <c r="I36" s="726"/>
      <c r="J36" s="726"/>
    </row>
    <row r="37" spans="1:16">
      <c r="A37" s="811"/>
      <c r="B37" s="834" t="s">
        <v>687</v>
      </c>
      <c r="C37" s="724"/>
      <c r="D37" s="741">
        <v>0</v>
      </c>
      <c r="E37" s="835"/>
      <c r="F37" s="716"/>
      <c r="G37" s="836"/>
      <c r="H37" s="741">
        <v>0</v>
      </c>
      <c r="I37" s="726"/>
      <c r="J37" s="726"/>
    </row>
    <row r="38" spans="1:16">
      <c r="A38" s="811"/>
      <c r="B38" s="834" t="s">
        <v>3564</v>
      </c>
      <c r="C38" s="724"/>
      <c r="D38" s="739">
        <f>-'main TB'!T26</f>
        <v>82528503</v>
      </c>
      <c r="E38" s="835"/>
      <c r="F38" s="716"/>
      <c r="G38" s="836"/>
      <c r="H38" s="739">
        <v>0</v>
      </c>
      <c r="I38" s="726"/>
      <c r="J38" s="726"/>
    </row>
    <row r="39" spans="1:16">
      <c r="A39" s="811"/>
      <c r="B39" s="834" t="s">
        <v>3565</v>
      </c>
      <c r="C39" s="724"/>
      <c r="D39" s="739">
        <v>0</v>
      </c>
      <c r="E39" s="835"/>
      <c r="F39" s="716"/>
      <c r="G39" s="836"/>
      <c r="H39" s="739">
        <v>0</v>
      </c>
      <c r="I39" s="726"/>
      <c r="J39" s="726"/>
    </row>
    <row r="40" spans="1:16">
      <c r="A40" s="811"/>
      <c r="B40" s="834" t="s">
        <v>693</v>
      </c>
      <c r="C40" s="724"/>
      <c r="D40" s="739">
        <v>0</v>
      </c>
      <c r="E40" s="835"/>
      <c r="F40" s="716"/>
      <c r="G40" s="836"/>
      <c r="H40" s="739">
        <v>0</v>
      </c>
      <c r="I40" s="726"/>
      <c r="J40" s="726"/>
    </row>
    <row r="41" spans="1:16">
      <c r="A41" s="811"/>
      <c r="B41" s="834" t="s">
        <v>696</v>
      </c>
      <c r="C41" s="724"/>
      <c r="D41" s="740">
        <v>0</v>
      </c>
      <c r="E41" s="835"/>
      <c r="F41" s="716"/>
      <c r="G41" s="836"/>
      <c r="H41" s="740">
        <v>0</v>
      </c>
      <c r="I41" s="726"/>
      <c r="J41" s="726"/>
    </row>
    <row r="42" spans="1:16">
      <c r="A42" s="811"/>
      <c r="B42" s="841"/>
      <c r="C42" s="743"/>
      <c r="D42" s="745"/>
      <c r="E42" s="837"/>
      <c r="F42" s="716"/>
      <c r="G42" s="838"/>
      <c r="H42" s="745"/>
      <c r="I42" s="746"/>
      <c r="J42" s="726"/>
    </row>
    <row r="43" spans="1:16">
      <c r="A43" s="845"/>
      <c r="B43" s="842"/>
      <c r="C43" s="842"/>
      <c r="D43" s="745"/>
      <c r="E43" s="745"/>
      <c r="F43" s="745"/>
      <c r="G43" s="745"/>
      <c r="H43" s="745"/>
      <c r="I43" s="842"/>
      <c r="J43" s="746"/>
    </row>
    <row r="44" spans="1:16">
      <c r="A44" s="824"/>
      <c r="B44" s="825"/>
      <c r="C44" s="825"/>
      <c r="D44" s="826"/>
      <c r="E44" s="826"/>
      <c r="F44" s="826"/>
      <c r="G44" s="826"/>
      <c r="H44" s="826"/>
      <c r="I44" s="825"/>
      <c r="J44" s="827"/>
    </row>
    <row r="45" spans="1:16">
      <c r="A45" s="817" t="s">
        <v>988</v>
      </c>
      <c r="B45" s="839" t="s">
        <v>698</v>
      </c>
      <c r="C45" s="839"/>
      <c r="D45" s="716"/>
      <c r="E45" s="716"/>
      <c r="F45" s="716"/>
      <c r="G45" s="716"/>
      <c r="H45" s="716"/>
      <c r="I45" s="728"/>
      <c r="J45" s="726"/>
    </row>
    <row r="46" spans="1:16" ht="25.5">
      <c r="A46" s="811"/>
      <c r="B46" s="839" t="s">
        <v>619</v>
      </c>
      <c r="C46" s="839"/>
      <c r="D46" s="733">
        <f>SUM(H54)</f>
        <v>-16257460.29999999</v>
      </c>
      <c r="E46" s="733"/>
      <c r="F46" s="733"/>
      <c r="G46" s="733"/>
      <c r="H46" s="733">
        <f>'main TB'!H44</f>
        <v>23127785.060000002</v>
      </c>
      <c r="I46" s="738"/>
      <c r="J46" s="736"/>
    </row>
    <row r="47" spans="1:16">
      <c r="A47" s="811"/>
      <c r="B47" s="841" t="s">
        <v>699</v>
      </c>
      <c r="C47" s="841"/>
      <c r="D47" s="716">
        <f>SUM('Appendix D'!N78)</f>
        <v>10925272.969999997</v>
      </c>
      <c r="E47" s="716"/>
      <c r="F47" s="716"/>
      <c r="G47" s="716"/>
      <c r="H47" s="716">
        <f>'Statement of Financial Performa'!H49</f>
        <v>-9086410.359999992</v>
      </c>
      <c r="I47" s="728"/>
      <c r="J47" s="726"/>
    </row>
    <row r="48" spans="1:16">
      <c r="A48" s="811"/>
      <c r="B48" s="834" t="s">
        <v>688</v>
      </c>
      <c r="C48" s="728"/>
      <c r="D48" s="716">
        <f>'main TB'!N42-10889273</f>
        <v>89147212.360000014</v>
      </c>
      <c r="E48" s="716"/>
      <c r="F48" s="716"/>
      <c r="G48" s="716"/>
      <c r="H48" s="716">
        <v>0</v>
      </c>
      <c r="I48" s="728"/>
      <c r="J48" s="726"/>
    </row>
    <row r="49" spans="1:16">
      <c r="A49" s="811"/>
      <c r="B49" s="834" t="s">
        <v>697</v>
      </c>
      <c r="C49" s="728"/>
      <c r="D49" s="716">
        <f>'main TB'!T44-36000</f>
        <v>-106754935.73999998</v>
      </c>
      <c r="E49" s="716"/>
      <c r="F49" s="716"/>
      <c r="G49" s="716"/>
      <c r="H49" s="716">
        <v>0</v>
      </c>
      <c r="I49" s="728"/>
      <c r="J49" s="726"/>
    </row>
    <row r="50" spans="1:16">
      <c r="A50" s="811"/>
      <c r="B50" s="834" t="s">
        <v>1520</v>
      </c>
      <c r="C50" s="728"/>
      <c r="D50" s="716">
        <v>0</v>
      </c>
      <c r="E50" s="716"/>
      <c r="F50" s="716"/>
      <c r="G50" s="716"/>
      <c r="H50" s="716">
        <v>-30298835</v>
      </c>
      <c r="I50" s="728"/>
      <c r="J50" s="726"/>
    </row>
    <row r="51" spans="1:16">
      <c r="A51" s="811"/>
      <c r="B51" s="841" t="s">
        <v>700</v>
      </c>
      <c r="C51" s="841"/>
      <c r="D51" s="716">
        <v>0</v>
      </c>
      <c r="E51" s="716"/>
      <c r="F51" s="716"/>
      <c r="G51" s="716"/>
      <c r="H51" s="716">
        <v>0</v>
      </c>
      <c r="I51" s="728"/>
      <c r="J51" s="726"/>
    </row>
    <row r="52" spans="1:16">
      <c r="A52" s="811"/>
      <c r="B52" s="841" t="s">
        <v>1838</v>
      </c>
      <c r="C52" s="841"/>
      <c r="D52" s="716">
        <v>0</v>
      </c>
      <c r="E52" s="716"/>
      <c r="F52" s="716"/>
      <c r="G52" s="716"/>
      <c r="H52" s="716">
        <v>0</v>
      </c>
      <c r="I52" s="728"/>
      <c r="J52" s="726"/>
    </row>
    <row r="53" spans="1:16">
      <c r="A53" s="811"/>
      <c r="B53" s="841"/>
      <c r="C53" s="841"/>
      <c r="D53" s="716">
        <v>0</v>
      </c>
      <c r="E53" s="716"/>
      <c r="F53" s="716"/>
      <c r="G53" s="716"/>
      <c r="H53" s="716"/>
      <c r="I53" s="728"/>
      <c r="J53" s="726"/>
    </row>
    <row r="54" spans="1:16" ht="13.5" thickBot="1">
      <c r="A54" s="811"/>
      <c r="B54" s="839" t="s">
        <v>701</v>
      </c>
      <c r="C54" s="841"/>
      <c r="D54" s="846">
        <f>SUM(D46:D53)</f>
        <v>-22939910.709999964</v>
      </c>
      <c r="E54" s="716"/>
      <c r="F54" s="716"/>
      <c r="G54" s="716"/>
      <c r="H54" s="846">
        <f>SUM(H46:H52)</f>
        <v>-16257460.29999999</v>
      </c>
      <c r="I54" s="728"/>
      <c r="J54" s="726"/>
    </row>
    <row r="55" spans="1:16" ht="13.5" thickTop="1">
      <c r="A55" s="811"/>
      <c r="B55" s="728"/>
      <c r="C55" s="728"/>
      <c r="D55" s="716"/>
      <c r="E55" s="716"/>
      <c r="F55" s="716"/>
      <c r="G55" s="716"/>
      <c r="H55" s="716"/>
      <c r="I55" s="728"/>
      <c r="J55" s="726"/>
    </row>
    <row r="56" spans="1:16" s="728" customFormat="1">
      <c r="A56" s="811"/>
      <c r="B56" s="728" t="s">
        <v>702</v>
      </c>
      <c r="D56" s="716"/>
      <c r="E56" s="716"/>
      <c r="F56" s="716"/>
      <c r="G56" s="716"/>
      <c r="H56" s="716"/>
      <c r="J56" s="726"/>
      <c r="K56" s="727"/>
      <c r="L56" s="727"/>
      <c r="M56" s="727"/>
      <c r="N56" s="727"/>
      <c r="O56" s="727"/>
      <c r="P56" s="727"/>
    </row>
    <row r="57" spans="1:16">
      <c r="A57" s="845"/>
      <c r="B57" s="842"/>
      <c r="C57" s="842"/>
      <c r="D57" s="745"/>
      <c r="E57" s="745"/>
      <c r="F57" s="745"/>
      <c r="G57" s="745"/>
      <c r="H57" s="745"/>
      <c r="I57" s="842"/>
      <c r="J57" s="746"/>
    </row>
    <row r="58" spans="1:16">
      <c r="A58" s="824"/>
      <c r="B58" s="825"/>
      <c r="C58" s="825"/>
      <c r="D58" s="826"/>
      <c r="E58" s="826"/>
      <c r="F58" s="826"/>
      <c r="G58" s="826"/>
      <c r="H58" s="826"/>
      <c r="I58" s="825"/>
      <c r="J58" s="827"/>
    </row>
    <row r="59" spans="1:16">
      <c r="A59" s="817" t="s">
        <v>989</v>
      </c>
      <c r="B59" s="839" t="s">
        <v>703</v>
      </c>
      <c r="C59" s="728"/>
      <c r="D59" s="716"/>
      <c r="E59" s="716"/>
      <c r="F59" s="716"/>
      <c r="G59" s="716"/>
      <c r="H59" s="716"/>
      <c r="I59" s="728"/>
      <c r="J59" s="726"/>
    </row>
    <row r="60" spans="1:16">
      <c r="A60" s="811"/>
      <c r="B60" s="841"/>
      <c r="C60" s="840"/>
      <c r="D60" s="826"/>
      <c r="E60" s="847"/>
      <c r="F60" s="716"/>
      <c r="G60" s="848"/>
      <c r="H60" s="826"/>
      <c r="I60" s="827"/>
      <c r="J60" s="726"/>
    </row>
    <row r="61" spans="1:16">
      <c r="A61" s="811"/>
      <c r="B61" s="841" t="s">
        <v>704</v>
      </c>
      <c r="C61" s="724"/>
      <c r="D61" s="741">
        <f>-'main TB'!U107+'main TB'!U104+'main TB'!U103</f>
        <v>8998645.3599999994</v>
      </c>
      <c r="E61" s="835"/>
      <c r="F61" s="716"/>
      <c r="G61" s="836"/>
      <c r="H61" s="741">
        <f>-SUM('main TB'!H107)</f>
        <v>9185394.6799999997</v>
      </c>
      <c r="I61" s="726"/>
      <c r="J61" s="726"/>
    </row>
    <row r="62" spans="1:16">
      <c r="A62" s="811"/>
      <c r="B62" s="841" t="s">
        <v>1063</v>
      </c>
      <c r="C62" s="724"/>
      <c r="D62" s="740">
        <f>-'main TB'!U104-'main TB'!U103</f>
        <v>2236682.41</v>
      </c>
      <c r="E62" s="835"/>
      <c r="F62" s="716"/>
      <c r="G62" s="836"/>
      <c r="H62" s="740"/>
      <c r="I62" s="726"/>
      <c r="J62" s="726"/>
    </row>
    <row r="63" spans="1:16">
      <c r="A63" s="811"/>
      <c r="B63" s="839" t="s">
        <v>705</v>
      </c>
      <c r="C63" s="724"/>
      <c r="D63" s="849">
        <f>SUM(D61:D62)</f>
        <v>11235327.77</v>
      </c>
      <c r="E63" s="835"/>
      <c r="F63" s="716"/>
      <c r="G63" s="836"/>
      <c r="H63" s="849">
        <f>H61</f>
        <v>9185394.6799999997</v>
      </c>
      <c r="I63" s="726"/>
      <c r="J63" s="726"/>
    </row>
    <row r="64" spans="1:16" ht="25.5">
      <c r="A64" s="811"/>
      <c r="B64" s="841" t="s">
        <v>706</v>
      </c>
      <c r="C64" s="724"/>
      <c r="D64" s="716">
        <v>-1902281.11</v>
      </c>
      <c r="E64" s="835"/>
      <c r="F64" s="716"/>
      <c r="G64" s="836"/>
      <c r="H64" s="716">
        <v>-1755000</v>
      </c>
      <c r="I64" s="726"/>
      <c r="J64" s="726"/>
      <c r="K64" s="809" t="s">
        <v>1506</v>
      </c>
    </row>
    <row r="65" spans="1:10">
      <c r="A65" s="811"/>
      <c r="B65" s="841"/>
      <c r="C65" s="724"/>
      <c r="D65" s="716"/>
      <c r="E65" s="835"/>
      <c r="F65" s="716"/>
      <c r="G65" s="836"/>
      <c r="H65" s="716"/>
      <c r="I65" s="726"/>
      <c r="J65" s="726"/>
    </row>
    <row r="66" spans="1:10">
      <c r="A66" s="811"/>
      <c r="B66" s="839" t="s">
        <v>707</v>
      </c>
      <c r="C66" s="724"/>
      <c r="D66" s="849">
        <f>D64+D63</f>
        <v>9333046.6600000001</v>
      </c>
      <c r="E66" s="835"/>
      <c r="F66" s="716"/>
      <c r="G66" s="836"/>
      <c r="H66" s="849">
        <f>H64+H63</f>
        <v>7430394.6799999997</v>
      </c>
      <c r="I66" s="726"/>
      <c r="J66" s="726"/>
    </row>
    <row r="67" spans="1:10">
      <c r="A67" s="811"/>
      <c r="B67" s="728"/>
      <c r="C67" s="743"/>
      <c r="D67" s="745"/>
      <c r="E67" s="837"/>
      <c r="F67" s="716"/>
      <c r="G67" s="838"/>
      <c r="H67" s="745"/>
      <c r="I67" s="746"/>
      <c r="J67" s="726"/>
    </row>
    <row r="68" spans="1:10">
      <c r="A68" s="811"/>
      <c r="B68" s="728"/>
      <c r="C68" s="728"/>
      <c r="D68" s="716"/>
      <c r="E68" s="716"/>
      <c r="F68" s="716"/>
      <c r="G68" s="716"/>
      <c r="H68" s="716"/>
      <c r="I68" s="728"/>
      <c r="J68" s="726"/>
    </row>
    <row r="69" spans="1:10" ht="25.5">
      <c r="A69" s="811"/>
      <c r="B69" s="850" t="s">
        <v>708</v>
      </c>
      <c r="C69" s="851"/>
      <c r="D69" s="852"/>
      <c r="E69" s="852"/>
      <c r="F69" s="852"/>
      <c r="G69" s="852"/>
      <c r="H69" s="852"/>
      <c r="I69" s="851"/>
      <c r="J69" s="726"/>
    </row>
    <row r="70" spans="1:10">
      <c r="A70" s="811"/>
      <c r="B70" s="850"/>
      <c r="C70" s="851"/>
      <c r="D70" s="852"/>
      <c r="E70" s="852"/>
      <c r="F70" s="852"/>
      <c r="G70" s="852"/>
      <c r="H70" s="852"/>
      <c r="I70" s="851"/>
      <c r="J70" s="726"/>
    </row>
    <row r="71" spans="1:10">
      <c r="A71" s="811"/>
      <c r="B71" s="850" t="s">
        <v>709</v>
      </c>
      <c r="C71" s="851"/>
      <c r="D71" s="852"/>
      <c r="E71" s="852"/>
      <c r="F71" s="852"/>
      <c r="G71" s="852"/>
      <c r="H71" s="852"/>
      <c r="I71" s="851"/>
      <c r="J71" s="726"/>
    </row>
    <row r="72" spans="1:10">
      <c r="A72" s="811"/>
      <c r="B72" s="728"/>
      <c r="C72" s="728"/>
      <c r="D72" s="716"/>
      <c r="E72" s="716"/>
      <c r="F72" s="716"/>
      <c r="G72" s="716"/>
      <c r="H72" s="716"/>
      <c r="I72" s="728"/>
      <c r="J72" s="726"/>
    </row>
    <row r="73" spans="1:10" ht="15" customHeight="1">
      <c r="A73" s="811"/>
      <c r="B73" s="839" t="s">
        <v>710</v>
      </c>
      <c r="C73" s="728"/>
      <c r="D73" s="716"/>
      <c r="E73" s="716"/>
      <c r="F73" s="716"/>
      <c r="G73" s="716"/>
      <c r="H73" s="716"/>
      <c r="I73" s="728"/>
      <c r="J73" s="726"/>
    </row>
    <row r="74" spans="1:10">
      <c r="A74" s="811"/>
      <c r="B74" s="841" t="s">
        <v>711</v>
      </c>
      <c r="C74" s="728"/>
      <c r="D74" s="853">
        <v>0</v>
      </c>
      <c r="E74" s="716"/>
      <c r="F74" s="716"/>
      <c r="G74" s="716"/>
      <c r="H74" s="853">
        <v>0</v>
      </c>
      <c r="I74" s="728"/>
      <c r="J74" s="726"/>
    </row>
    <row r="75" spans="1:10" ht="14.25" customHeight="1">
      <c r="A75" s="811"/>
      <c r="B75" s="728"/>
      <c r="C75" s="728"/>
      <c r="D75" s="716"/>
      <c r="E75" s="716"/>
      <c r="F75" s="716"/>
      <c r="G75" s="716"/>
      <c r="H75" s="716"/>
      <c r="I75" s="728"/>
      <c r="J75" s="726"/>
    </row>
    <row r="76" spans="1:10">
      <c r="A76" s="811"/>
      <c r="B76" s="850"/>
      <c r="C76" s="851"/>
      <c r="D76" s="852"/>
      <c r="E76" s="852"/>
      <c r="F76" s="852"/>
      <c r="G76" s="852"/>
      <c r="H76" s="852"/>
      <c r="I76" s="851"/>
      <c r="J76" s="726"/>
    </row>
    <row r="77" spans="1:10" ht="28.5" customHeight="1">
      <c r="A77" s="845"/>
      <c r="B77" s="842"/>
      <c r="C77" s="842"/>
      <c r="D77" s="745"/>
      <c r="E77" s="745"/>
      <c r="F77" s="745"/>
      <c r="G77" s="745"/>
      <c r="H77" s="745"/>
      <c r="I77" s="842"/>
      <c r="J77" s="746"/>
    </row>
    <row r="78" spans="1:10">
      <c r="A78" s="824"/>
      <c r="B78" s="825"/>
      <c r="C78" s="825"/>
      <c r="D78" s="826"/>
      <c r="E78" s="826"/>
      <c r="F78" s="826"/>
      <c r="G78" s="826"/>
      <c r="H78" s="826"/>
      <c r="I78" s="825"/>
      <c r="J78" s="827"/>
    </row>
    <row r="79" spans="1:10">
      <c r="A79" s="817" t="s">
        <v>990</v>
      </c>
      <c r="B79" s="839" t="s">
        <v>712</v>
      </c>
      <c r="C79" s="841"/>
      <c r="D79" s="854"/>
      <c r="E79" s="716"/>
      <c r="F79" s="716"/>
      <c r="G79" s="716"/>
      <c r="H79" s="716"/>
      <c r="I79" s="728"/>
      <c r="J79" s="726"/>
    </row>
    <row r="80" spans="1:10">
      <c r="A80" s="811"/>
      <c r="B80" s="841"/>
      <c r="C80" s="841"/>
      <c r="D80" s="854"/>
      <c r="E80" s="716"/>
      <c r="F80" s="716"/>
      <c r="G80" s="716"/>
      <c r="H80" s="716"/>
      <c r="I80" s="728"/>
      <c r="J80" s="726"/>
    </row>
    <row r="81" spans="1:11">
      <c r="A81" s="811"/>
      <c r="B81" s="841" t="s">
        <v>1609</v>
      </c>
      <c r="C81" s="841"/>
      <c r="D81" s="855">
        <f>1561547.4-D83</f>
        <v>1063238.3999999999</v>
      </c>
      <c r="E81" s="716"/>
      <c r="F81" s="716"/>
      <c r="G81" s="716"/>
      <c r="H81" s="741">
        <v>1327936.83</v>
      </c>
      <c r="I81" s="728"/>
      <c r="J81" s="726"/>
    </row>
    <row r="82" spans="1:11">
      <c r="A82" s="811"/>
      <c r="B82" s="841" t="s">
        <v>1612</v>
      </c>
      <c r="C82" s="841"/>
      <c r="D82" s="856"/>
      <c r="E82" s="716"/>
      <c r="F82" s="716"/>
      <c r="G82" s="716"/>
      <c r="H82" s="739"/>
      <c r="I82" s="728"/>
      <c r="J82" s="726"/>
    </row>
    <row r="83" spans="1:11">
      <c r="A83" s="811"/>
      <c r="B83" s="841" t="s">
        <v>713</v>
      </c>
      <c r="C83" s="841"/>
      <c r="D83" s="857">
        <v>498309</v>
      </c>
      <c r="E83" s="716"/>
      <c r="F83" s="716"/>
      <c r="G83" s="716"/>
      <c r="H83" s="740"/>
      <c r="I83" s="728"/>
      <c r="J83" s="726"/>
    </row>
    <row r="84" spans="1:11">
      <c r="A84" s="811"/>
      <c r="B84" s="858"/>
      <c r="C84" s="858"/>
      <c r="D84" s="854"/>
      <c r="E84" s="716"/>
      <c r="F84" s="716"/>
      <c r="G84" s="716"/>
      <c r="H84" s="716"/>
      <c r="I84" s="728"/>
      <c r="J84" s="726"/>
    </row>
    <row r="85" spans="1:11" ht="13.5" thickBot="1">
      <c r="A85" s="811"/>
      <c r="B85" s="839" t="s">
        <v>714</v>
      </c>
      <c r="C85" s="839"/>
      <c r="D85" s="859">
        <f>SUM(D81:D83)</f>
        <v>1561547.4</v>
      </c>
      <c r="E85" s="733"/>
      <c r="F85" s="733"/>
      <c r="G85" s="733"/>
      <c r="H85" s="859">
        <f>SUM(H81:H83)</f>
        <v>1327936.83</v>
      </c>
      <c r="I85" s="728"/>
      <c r="J85" s="726"/>
    </row>
    <row r="86" spans="1:11" ht="13.5" thickTop="1">
      <c r="A86" s="811"/>
      <c r="B86" s="839"/>
      <c r="C86" s="839"/>
      <c r="D86" s="854"/>
      <c r="E86" s="716"/>
      <c r="F86" s="716"/>
      <c r="G86" s="716"/>
      <c r="H86" s="716"/>
      <c r="I86" s="728"/>
      <c r="J86" s="726"/>
    </row>
    <row r="87" spans="1:11">
      <c r="A87" s="811"/>
      <c r="B87" s="841" t="s">
        <v>1184</v>
      </c>
      <c r="C87" s="841"/>
      <c r="D87" s="854"/>
      <c r="E87" s="716"/>
      <c r="F87" s="716"/>
      <c r="G87" s="716"/>
      <c r="H87" s="716"/>
      <c r="I87" s="728"/>
      <c r="J87" s="726"/>
      <c r="K87" s="809">
        <v>5651075.1700000009</v>
      </c>
    </row>
    <row r="88" spans="1:11">
      <c r="A88" s="811"/>
      <c r="B88" s="839"/>
      <c r="C88" s="839"/>
      <c r="D88" s="854"/>
      <c r="E88" s="716"/>
      <c r="F88" s="716"/>
      <c r="G88" s="716"/>
      <c r="H88" s="716"/>
      <c r="I88" s="728"/>
      <c r="J88" s="726"/>
      <c r="K88" s="809">
        <v>0</v>
      </c>
    </row>
    <row r="89" spans="1:11" ht="25.5">
      <c r="A89" s="811"/>
      <c r="B89" s="841" t="s">
        <v>1185</v>
      </c>
      <c r="C89" s="841"/>
      <c r="D89" s="860">
        <v>659156</v>
      </c>
      <c r="E89" s="716"/>
      <c r="F89" s="716"/>
      <c r="G89" s="716"/>
      <c r="H89" s="853">
        <v>534203</v>
      </c>
      <c r="I89" s="728"/>
      <c r="J89" s="726"/>
    </row>
    <row r="90" spans="1:11">
      <c r="A90" s="845"/>
      <c r="B90" s="842"/>
      <c r="C90" s="842"/>
      <c r="D90" s="745"/>
      <c r="E90" s="745"/>
      <c r="F90" s="745"/>
      <c r="G90" s="745"/>
      <c r="H90" s="745"/>
      <c r="I90" s="842"/>
      <c r="J90" s="746"/>
    </row>
    <row r="91" spans="1:11">
      <c r="A91" s="811"/>
      <c r="B91" s="728"/>
      <c r="C91" s="728"/>
      <c r="D91" s="716"/>
      <c r="E91" s="716"/>
      <c r="F91" s="716"/>
      <c r="G91" s="716"/>
      <c r="H91" s="716"/>
      <c r="I91" s="728"/>
      <c r="J91" s="726"/>
    </row>
    <row r="92" spans="1:11">
      <c r="A92" s="817" t="s">
        <v>991</v>
      </c>
      <c r="B92" s="839" t="s">
        <v>1186</v>
      </c>
      <c r="C92" s="728"/>
      <c r="D92" s="733">
        <f>D94+D99</f>
        <v>-233875.09</v>
      </c>
      <c r="E92" s="716"/>
      <c r="F92" s="716"/>
      <c r="G92" s="716"/>
      <c r="H92" s="733">
        <f>H94+H99</f>
        <v>-31894.93</v>
      </c>
      <c r="I92" s="728"/>
      <c r="J92" s="726"/>
    </row>
    <row r="93" spans="1:11">
      <c r="A93" s="817"/>
      <c r="B93" s="839"/>
      <c r="C93" s="728"/>
      <c r="D93" s="716"/>
      <c r="E93" s="716"/>
      <c r="F93" s="716"/>
      <c r="G93" s="716"/>
      <c r="H93" s="716"/>
      <c r="I93" s="728"/>
      <c r="J93" s="726"/>
    </row>
    <row r="94" spans="1:11">
      <c r="A94" s="811"/>
      <c r="B94" s="839" t="s">
        <v>2546</v>
      </c>
      <c r="C94" s="840"/>
      <c r="D94" s="830">
        <f>SUM(D95:D97)</f>
        <v>-233875.09</v>
      </c>
      <c r="E94" s="847"/>
      <c r="F94" s="716"/>
      <c r="G94" s="848"/>
      <c r="H94" s="830">
        <f>SUM(H95:H97)</f>
        <v>-31894.93</v>
      </c>
      <c r="I94" s="827"/>
      <c r="J94" s="861"/>
    </row>
    <row r="95" spans="1:11">
      <c r="A95" s="811"/>
      <c r="B95" s="841" t="s">
        <v>1187</v>
      </c>
      <c r="C95" s="724"/>
      <c r="D95" s="741">
        <f>H94</f>
        <v>-31894.93</v>
      </c>
      <c r="E95" s="835"/>
      <c r="F95" s="716"/>
      <c r="G95" s="836"/>
      <c r="H95" s="741">
        <f>'main TB'!H30</f>
        <v>0</v>
      </c>
      <c r="I95" s="726"/>
      <c r="J95" s="861"/>
    </row>
    <row r="96" spans="1:11">
      <c r="A96" s="811"/>
      <c r="B96" s="841" t="s">
        <v>1188</v>
      </c>
      <c r="C96" s="724"/>
      <c r="D96" s="739">
        <f>'main TB'!T30</f>
        <v>-201980.16</v>
      </c>
      <c r="E96" s="835"/>
      <c r="F96" s="716"/>
      <c r="G96" s="836"/>
      <c r="H96" s="739">
        <f>'main TB'!K30</f>
        <v>-31894.93</v>
      </c>
      <c r="I96" s="726"/>
      <c r="J96" s="861"/>
    </row>
    <row r="97" spans="1:12">
      <c r="A97" s="811"/>
      <c r="B97" s="841" t="s">
        <v>1189</v>
      </c>
      <c r="C97" s="724"/>
      <c r="D97" s="740">
        <v>0</v>
      </c>
      <c r="E97" s="835"/>
      <c r="F97" s="716"/>
      <c r="G97" s="836"/>
      <c r="H97" s="740">
        <v>0</v>
      </c>
      <c r="I97" s="726"/>
      <c r="J97" s="861"/>
    </row>
    <row r="98" spans="1:12">
      <c r="A98" s="811"/>
      <c r="B98" s="728"/>
      <c r="C98" s="743"/>
      <c r="D98" s="735"/>
      <c r="E98" s="837"/>
      <c r="F98" s="716"/>
      <c r="G98" s="838"/>
      <c r="H98" s="735"/>
      <c r="I98" s="746"/>
      <c r="J98" s="861"/>
    </row>
    <row r="99" spans="1:12">
      <c r="A99" s="811"/>
      <c r="B99" s="839" t="s">
        <v>1062</v>
      </c>
      <c r="C99" s="840"/>
      <c r="D99" s="830">
        <f>SUM(D100:D102)</f>
        <v>0</v>
      </c>
      <c r="E99" s="847"/>
      <c r="F99" s="716"/>
      <c r="G99" s="848"/>
      <c r="H99" s="830">
        <f>SUM(H100:H102)</f>
        <v>0</v>
      </c>
      <c r="I99" s="827"/>
      <c r="J99" s="726"/>
      <c r="K99" s="809">
        <f>'main TB'!U29</f>
        <v>-5651075.1700000009</v>
      </c>
    </row>
    <row r="100" spans="1:12">
      <c r="A100" s="811"/>
      <c r="B100" s="841" t="s">
        <v>1187</v>
      </c>
      <c r="C100" s="724"/>
      <c r="D100" s="741">
        <f>SUM(H99)</f>
        <v>0</v>
      </c>
      <c r="E100" s="835"/>
      <c r="F100" s="716"/>
      <c r="G100" s="836"/>
      <c r="H100" s="741">
        <v>0</v>
      </c>
      <c r="I100" s="726"/>
      <c r="J100" s="726"/>
      <c r="K100" s="809">
        <f>D99+K99</f>
        <v>-5651075.1700000009</v>
      </c>
    </row>
    <row r="101" spans="1:12">
      <c r="A101" s="811"/>
      <c r="B101" s="841" t="s">
        <v>1499</v>
      </c>
      <c r="C101" s="724"/>
      <c r="D101" s="739">
        <v>0</v>
      </c>
      <c r="E101" s="835"/>
      <c r="F101" s="716"/>
      <c r="G101" s="836"/>
      <c r="H101" s="739">
        <v>0</v>
      </c>
      <c r="I101" s="726"/>
      <c r="J101" s="726"/>
      <c r="K101" s="809">
        <f>'Note 15'!D9</f>
        <v>0</v>
      </c>
    </row>
    <row r="102" spans="1:12">
      <c r="A102" s="811"/>
      <c r="B102" s="841" t="s">
        <v>1189</v>
      </c>
      <c r="C102" s="724"/>
      <c r="D102" s="740">
        <v>0</v>
      </c>
      <c r="E102" s="835"/>
      <c r="F102" s="716"/>
      <c r="G102" s="836"/>
      <c r="H102" s="740">
        <v>0</v>
      </c>
      <c r="I102" s="726"/>
      <c r="J102" s="726"/>
      <c r="K102" s="809">
        <f>D99-K101</f>
        <v>0</v>
      </c>
    </row>
    <row r="103" spans="1:12">
      <c r="A103" s="811"/>
      <c r="B103" s="841"/>
      <c r="C103" s="743"/>
      <c r="D103" s="745"/>
      <c r="E103" s="837"/>
      <c r="F103" s="716"/>
      <c r="G103" s="838"/>
      <c r="H103" s="745"/>
      <c r="I103" s="746"/>
      <c r="J103" s="726"/>
    </row>
    <row r="104" spans="1:12">
      <c r="A104" s="845"/>
      <c r="B104" s="842"/>
      <c r="C104" s="842"/>
      <c r="D104" s="745"/>
      <c r="E104" s="745"/>
      <c r="F104" s="745"/>
      <c r="G104" s="745"/>
      <c r="H104" s="745"/>
      <c r="I104" s="842"/>
      <c r="J104" s="746"/>
    </row>
    <row r="105" spans="1:12">
      <c r="A105" s="811"/>
      <c r="B105" s="728"/>
      <c r="C105" s="728"/>
      <c r="D105" s="716"/>
      <c r="E105" s="716"/>
      <c r="F105" s="716"/>
      <c r="G105" s="716"/>
      <c r="H105" s="716"/>
      <c r="I105" s="728"/>
      <c r="J105" s="726"/>
      <c r="L105" s="809">
        <f>+'main TB'!H167</f>
        <v>-13683233.589999998</v>
      </c>
    </row>
    <row r="106" spans="1:12">
      <c r="A106" s="817" t="s">
        <v>992</v>
      </c>
      <c r="B106" s="839" t="s">
        <v>3431</v>
      </c>
      <c r="C106" s="728"/>
      <c r="D106" s="716"/>
      <c r="E106" s="716"/>
      <c r="F106" s="716"/>
      <c r="G106" s="716"/>
      <c r="H106" s="716"/>
      <c r="I106" s="728"/>
      <c r="J106" s="726"/>
      <c r="L106" s="809">
        <f>+H125+L105</f>
        <v>-979117.83999999985</v>
      </c>
    </row>
    <row r="107" spans="1:12">
      <c r="A107" s="811"/>
      <c r="B107" s="841" t="s">
        <v>1135</v>
      </c>
      <c r="C107" s="728"/>
      <c r="D107" s="741">
        <f>-SUM('main TB'!U120)</f>
        <v>159268.81000000006</v>
      </c>
      <c r="E107" s="716"/>
      <c r="F107" s="716"/>
      <c r="G107" s="716"/>
      <c r="H107" s="741">
        <f>-SUM('main TB'!H120)</f>
        <v>149710.31</v>
      </c>
      <c r="I107" s="728"/>
      <c r="J107" s="726"/>
    </row>
    <row r="108" spans="1:12">
      <c r="A108" s="811"/>
      <c r="B108" s="841" t="s">
        <v>1136</v>
      </c>
      <c r="C108" s="728"/>
      <c r="D108" s="739"/>
      <c r="E108" s="716"/>
      <c r="F108" s="716"/>
      <c r="G108" s="716"/>
      <c r="H108" s="739"/>
      <c r="I108" s="728"/>
      <c r="J108" s="726"/>
    </row>
    <row r="109" spans="1:12">
      <c r="A109" s="811"/>
      <c r="B109" s="851" t="s">
        <v>1596</v>
      </c>
      <c r="C109" s="728"/>
      <c r="D109" s="739">
        <f>-SUM('main TB'!U122)</f>
        <v>1234470.78</v>
      </c>
      <c r="E109" s="716"/>
      <c r="F109" s="716"/>
      <c r="G109" s="716"/>
      <c r="H109" s="739">
        <f>-SUM('main TB'!H122)</f>
        <v>906500.46</v>
      </c>
      <c r="I109" s="728"/>
      <c r="J109" s="726"/>
    </row>
    <row r="110" spans="1:12">
      <c r="A110" s="811"/>
      <c r="B110" s="851" t="s">
        <v>1468</v>
      </c>
      <c r="C110" s="728"/>
      <c r="D110" s="739">
        <f>295466-0.18</f>
        <v>295465.82</v>
      </c>
      <c r="E110" s="716"/>
      <c r="F110" s="716"/>
      <c r="G110" s="716"/>
      <c r="H110" s="739"/>
      <c r="I110" s="728"/>
      <c r="J110" s="726"/>
    </row>
    <row r="111" spans="1:12">
      <c r="A111" s="811"/>
      <c r="B111" s="851" t="s">
        <v>3240</v>
      </c>
      <c r="C111" s="728"/>
      <c r="D111" s="739">
        <f>-SUM('main TB'!U121)</f>
        <v>3329083.32</v>
      </c>
      <c r="E111" s="716"/>
      <c r="F111" s="716"/>
      <c r="G111" s="716"/>
      <c r="H111" s="739">
        <f>-SUM('main TB'!H121)</f>
        <v>4447424.0199999996</v>
      </c>
      <c r="I111" s="728"/>
      <c r="J111" s="726"/>
    </row>
    <row r="112" spans="1:12">
      <c r="A112" s="811"/>
      <c r="B112" s="841" t="s">
        <v>3433</v>
      </c>
      <c r="C112" s="728"/>
      <c r="D112" s="739">
        <f>-SUM('main TB'!U123)</f>
        <v>1410492.7199999997</v>
      </c>
      <c r="E112" s="716"/>
      <c r="F112" s="716"/>
      <c r="G112" s="716"/>
      <c r="H112" s="739">
        <f>-SUM('main TB'!H123)</f>
        <v>1410492.72</v>
      </c>
      <c r="I112" s="728"/>
      <c r="J112" s="726"/>
    </row>
    <row r="113" spans="1:16">
      <c r="A113" s="811"/>
      <c r="B113" s="841" t="s">
        <v>1139</v>
      </c>
      <c r="C113" s="728"/>
      <c r="D113" s="739">
        <v>0</v>
      </c>
      <c r="E113" s="716"/>
      <c r="F113" s="716"/>
      <c r="G113" s="716"/>
      <c r="H113" s="739">
        <v>0</v>
      </c>
      <c r="I113" s="728"/>
      <c r="J113" s="726"/>
    </row>
    <row r="114" spans="1:16">
      <c r="A114" s="811"/>
      <c r="B114" s="841" t="s">
        <v>2183</v>
      </c>
      <c r="C114" s="728"/>
      <c r="D114" s="739">
        <f>-'main TB'!U156</f>
        <v>54586.69</v>
      </c>
      <c r="E114" s="716"/>
      <c r="F114" s="716"/>
      <c r="G114" s="716"/>
      <c r="H114" s="739">
        <f>-'main TB'!M156</f>
        <v>54586.69</v>
      </c>
      <c r="I114" s="728"/>
      <c r="J114" s="726"/>
    </row>
    <row r="115" spans="1:16">
      <c r="A115" s="811"/>
      <c r="B115" s="841" t="s">
        <v>1140</v>
      </c>
      <c r="C115" s="728"/>
      <c r="D115" s="739">
        <v>0</v>
      </c>
      <c r="E115" s="716"/>
      <c r="F115" s="716"/>
      <c r="G115" s="716"/>
      <c r="H115" s="739">
        <v>0</v>
      </c>
      <c r="I115" s="728"/>
      <c r="J115" s="726"/>
    </row>
    <row r="116" spans="1:16">
      <c r="A116" s="811"/>
      <c r="B116" s="841" t="s">
        <v>3237</v>
      </c>
      <c r="C116" s="728"/>
      <c r="D116" s="739">
        <f>-SUM('main TB'!U157)</f>
        <v>27466.02</v>
      </c>
      <c r="E116" s="716"/>
      <c r="F116" s="716"/>
      <c r="G116" s="716"/>
      <c r="H116" s="739">
        <f>-SUM('main TB'!H157)</f>
        <v>27466.02</v>
      </c>
      <c r="I116" s="728"/>
      <c r="J116" s="726"/>
    </row>
    <row r="117" spans="1:16">
      <c r="A117" s="811"/>
      <c r="B117" s="841" t="s">
        <v>3238</v>
      </c>
      <c r="C117" s="728"/>
      <c r="D117" s="739">
        <f>-SUM('main TB'!U155)</f>
        <v>19325.45</v>
      </c>
      <c r="E117" s="716"/>
      <c r="F117" s="716"/>
      <c r="G117" s="716"/>
      <c r="H117" s="739">
        <f>-SUM('main TB'!H155)</f>
        <v>19325.45</v>
      </c>
      <c r="I117" s="728"/>
      <c r="J117" s="726"/>
    </row>
    <row r="118" spans="1:16">
      <c r="A118" s="811"/>
      <c r="B118" s="841" t="s">
        <v>713</v>
      </c>
      <c r="C118" s="728"/>
      <c r="D118" s="739">
        <f>-SUM('main TB'!U127+'main TB'!U128+'main TB'!U129+'main TB'!U135+'main TB'!U136+'main TB'!U137+'main TB'!U138+'main TB'!U143+'main TB'!U145+'main TB'!U153)</f>
        <v>121145.12999999925</v>
      </c>
      <c r="E118" s="716"/>
      <c r="F118" s="716"/>
      <c r="G118" s="716"/>
      <c r="H118" s="739">
        <f>-SUM('main TB'!H127+'main TB'!H128+'main TB'!H129+'main TB'!H135+'main TB'!H136+'main TB'!H137+'main TB'!H138+'main TB'!H143+'main TB'!H144+'main TB'!H145+'main TB'!H153)</f>
        <v>159917.53999999998</v>
      </c>
      <c r="I118" s="728"/>
      <c r="J118" s="726"/>
    </row>
    <row r="119" spans="1:16">
      <c r="A119" s="811"/>
      <c r="B119" s="841" t="s">
        <v>3000</v>
      </c>
      <c r="C119" s="728"/>
      <c r="D119" s="739">
        <f>-SUM('main TB'!U134)</f>
        <v>0</v>
      </c>
      <c r="E119" s="716"/>
      <c r="F119" s="716"/>
      <c r="G119" s="716"/>
      <c r="H119" s="739">
        <f>-SUM('main TB'!H134)</f>
        <v>3240000</v>
      </c>
      <c r="I119" s="728"/>
      <c r="J119" s="726"/>
    </row>
    <row r="120" spans="1:16" s="819" customFormat="1">
      <c r="A120" s="811"/>
      <c r="B120" s="841" t="s">
        <v>915</v>
      </c>
      <c r="C120" s="728"/>
      <c r="D120" s="739">
        <f>-'main TB'!U160</f>
        <v>2202806.31</v>
      </c>
      <c r="E120" s="716"/>
      <c r="F120" s="716"/>
      <c r="G120" s="716"/>
      <c r="H120" s="739">
        <f>-'main TB'!M160</f>
        <v>1562266.36</v>
      </c>
      <c r="I120" s="728"/>
      <c r="J120" s="726"/>
      <c r="K120" s="818"/>
      <c r="L120" s="818"/>
      <c r="M120" s="818"/>
      <c r="N120" s="818"/>
      <c r="O120" s="818"/>
      <c r="P120" s="818"/>
    </row>
    <row r="121" spans="1:16">
      <c r="A121" s="811"/>
      <c r="B121" s="841" t="s">
        <v>1833</v>
      </c>
      <c r="C121" s="728"/>
      <c r="D121" s="739">
        <f>-SUM('main TB'!U162)+0.47</f>
        <v>450000.47</v>
      </c>
      <c r="E121" s="716"/>
      <c r="F121" s="716"/>
      <c r="G121" s="716"/>
      <c r="H121" s="739">
        <f>-SUM('main TB'!H162)</f>
        <v>0</v>
      </c>
      <c r="I121" s="728"/>
      <c r="J121" s="726"/>
    </row>
    <row r="122" spans="1:16">
      <c r="A122" s="811"/>
      <c r="B122" s="1192" t="s">
        <v>3688</v>
      </c>
      <c r="C122" s="728"/>
      <c r="D122" s="739">
        <v>5200457.41</v>
      </c>
      <c r="E122" s="716"/>
      <c r="F122" s="716"/>
      <c r="G122" s="716"/>
      <c r="H122" s="739"/>
      <c r="I122" s="728"/>
      <c r="J122" s="726"/>
    </row>
    <row r="123" spans="1:16" s="1199" customFormat="1">
      <c r="A123" s="1193"/>
      <c r="B123" s="1075" t="s">
        <v>1834</v>
      </c>
      <c r="C123" s="1038"/>
      <c r="D123" s="1054">
        <f>-SUM('main TB'!U163)</f>
        <v>211414.04</v>
      </c>
      <c r="E123" s="1196"/>
      <c r="F123" s="1196"/>
      <c r="G123" s="1196"/>
      <c r="H123" s="1195">
        <f>-SUM('main TB'!H163)</f>
        <v>0</v>
      </c>
      <c r="I123" s="1194"/>
      <c r="J123" s="1197"/>
      <c r="K123" s="1198"/>
      <c r="L123" s="1198"/>
      <c r="M123" s="1198"/>
      <c r="N123" s="1198"/>
      <c r="O123" s="1198"/>
      <c r="P123" s="1198"/>
    </row>
    <row r="124" spans="1:16">
      <c r="A124" s="811"/>
      <c r="B124" s="841" t="s">
        <v>3239</v>
      </c>
      <c r="C124" s="728"/>
      <c r="D124" s="739">
        <f>-SUM('main TB'!U142)</f>
        <v>1433580</v>
      </c>
      <c r="E124" s="716"/>
      <c r="F124" s="716"/>
      <c r="G124" s="716"/>
      <c r="H124" s="739">
        <f>-SUM('main TB'!H142)</f>
        <v>726426.18</v>
      </c>
      <c r="I124" s="728"/>
      <c r="J124" s="726"/>
    </row>
    <row r="125" spans="1:16">
      <c r="A125" s="811"/>
      <c r="B125" s="839" t="s">
        <v>1141</v>
      </c>
      <c r="C125" s="728"/>
      <c r="D125" s="849">
        <f>SUM(D107:D124)</f>
        <v>16149562.969999999</v>
      </c>
      <c r="E125" s="716"/>
      <c r="F125" s="716"/>
      <c r="G125" s="716"/>
      <c r="H125" s="849">
        <f>SUM(H107:H124)</f>
        <v>12704115.749999998</v>
      </c>
      <c r="I125" s="728"/>
      <c r="J125" s="726"/>
      <c r="K125" s="809">
        <f>SUM(13683233.59-H125)</f>
        <v>979117.84000000171</v>
      </c>
    </row>
    <row r="126" spans="1:16">
      <c r="A126" s="811"/>
      <c r="B126" s="728"/>
      <c r="C126" s="728"/>
      <c r="D126" s="716"/>
      <c r="E126" s="716"/>
      <c r="F126" s="716"/>
      <c r="G126" s="716"/>
      <c r="H126" s="716"/>
      <c r="I126" s="728"/>
      <c r="J126" s="726"/>
    </row>
    <row r="127" spans="1:16" ht="51">
      <c r="A127" s="811"/>
      <c r="B127" s="850" t="s">
        <v>1142</v>
      </c>
      <c r="C127" s="851"/>
      <c r="D127" s="852"/>
      <c r="E127" s="852"/>
      <c r="F127" s="852"/>
      <c r="G127" s="852"/>
      <c r="H127" s="852"/>
      <c r="I127" s="851"/>
      <c r="J127" s="726"/>
    </row>
    <row r="128" spans="1:16">
      <c r="A128" s="845"/>
      <c r="B128" s="842"/>
      <c r="C128" s="842"/>
      <c r="D128" s="745"/>
      <c r="E128" s="745"/>
      <c r="F128" s="745"/>
      <c r="G128" s="745"/>
      <c r="H128" s="745"/>
      <c r="I128" s="842"/>
      <c r="J128" s="746"/>
    </row>
    <row r="129" spans="1:11">
      <c r="A129" s="824"/>
      <c r="B129" s="825"/>
      <c r="C129" s="825"/>
      <c r="D129" s="826"/>
      <c r="E129" s="826"/>
      <c r="F129" s="826"/>
      <c r="G129" s="826"/>
      <c r="H129" s="826"/>
      <c r="I129" s="825"/>
      <c r="J129" s="827"/>
    </row>
    <row r="130" spans="1:11" ht="25.5">
      <c r="A130" s="817" t="s">
        <v>993</v>
      </c>
      <c r="B130" s="839" t="s">
        <v>2825</v>
      </c>
      <c r="C130" s="728"/>
      <c r="D130" s="716"/>
      <c r="E130" s="716"/>
      <c r="F130" s="716"/>
      <c r="G130" s="716"/>
      <c r="H130" s="716"/>
      <c r="I130" s="728"/>
      <c r="J130" s="726"/>
    </row>
    <row r="131" spans="1:11">
      <c r="A131" s="811"/>
      <c r="B131" s="841" t="s">
        <v>2184</v>
      </c>
      <c r="C131" s="728"/>
      <c r="D131" s="741">
        <f>-'main TB'!U130</f>
        <v>318235.78000000003</v>
      </c>
      <c r="E131" s="716"/>
      <c r="F131" s="716"/>
      <c r="G131" s="716"/>
      <c r="H131" s="741">
        <f>-'main TB'!M130</f>
        <v>318235.78000000003</v>
      </c>
      <c r="I131" s="728"/>
      <c r="J131" s="726"/>
    </row>
    <row r="132" spans="1:11">
      <c r="A132" s="811"/>
      <c r="B132" s="841" t="s">
        <v>3415</v>
      </c>
      <c r="C132" s="728"/>
      <c r="D132" s="739">
        <f>-'main TB'!U131</f>
        <v>70051.360000000001</v>
      </c>
      <c r="E132" s="716"/>
      <c r="F132" s="716"/>
      <c r="G132" s="716"/>
      <c r="H132" s="739">
        <f>-'main TB'!M131</f>
        <v>70051.360000000001</v>
      </c>
      <c r="I132" s="728"/>
      <c r="J132" s="726"/>
    </row>
    <row r="133" spans="1:11">
      <c r="A133" s="811"/>
      <c r="B133" s="841" t="s">
        <v>3415</v>
      </c>
      <c r="C133" s="728"/>
      <c r="D133" s="739">
        <f>-'main TB'!U132-'main TB'!U133</f>
        <v>95581.09</v>
      </c>
      <c r="E133" s="716"/>
      <c r="F133" s="716"/>
      <c r="G133" s="716"/>
      <c r="H133" s="739">
        <f>-'main TB'!M132-'main TB'!M133</f>
        <v>96840.08</v>
      </c>
      <c r="I133" s="728"/>
      <c r="J133" s="726"/>
    </row>
    <row r="134" spans="1:11">
      <c r="A134" s="811"/>
      <c r="B134" s="841" t="s">
        <v>1887</v>
      </c>
      <c r="C134" s="728"/>
      <c r="D134" s="739">
        <f>-'main TB'!U140</f>
        <v>833000</v>
      </c>
      <c r="E134" s="716"/>
      <c r="F134" s="716"/>
      <c r="G134" s="716"/>
      <c r="H134" s="739">
        <f>-'main TB'!M140</f>
        <v>833000</v>
      </c>
      <c r="I134" s="728"/>
      <c r="J134" s="726"/>
      <c r="K134" s="809">
        <f>D125+D140</f>
        <v>19923408.059999999</v>
      </c>
    </row>
    <row r="135" spans="1:11">
      <c r="A135" s="811"/>
      <c r="B135" s="841" t="s">
        <v>1887</v>
      </c>
      <c r="C135" s="728"/>
      <c r="D135" s="739">
        <f>-'main TB'!U154</f>
        <v>15043.11</v>
      </c>
      <c r="E135" s="716"/>
      <c r="F135" s="716"/>
      <c r="G135" s="716"/>
      <c r="H135" s="739">
        <f>-'main TB'!M154</f>
        <v>15043.11</v>
      </c>
      <c r="I135" s="728"/>
      <c r="J135" s="726"/>
    </row>
    <row r="136" spans="1:11">
      <c r="A136" s="811"/>
      <c r="B136" s="841" t="s">
        <v>1887</v>
      </c>
      <c r="C136" s="728"/>
      <c r="D136" s="739">
        <f>-'main TB'!U149</f>
        <v>82600</v>
      </c>
      <c r="E136" s="716"/>
      <c r="F136" s="716"/>
      <c r="G136" s="716"/>
      <c r="H136" s="739">
        <f>-'main TB'!M149</f>
        <v>82600</v>
      </c>
      <c r="I136" s="728"/>
      <c r="J136" s="726"/>
    </row>
    <row r="137" spans="1:11">
      <c r="A137" s="811"/>
      <c r="B137" s="841" t="s">
        <v>1143</v>
      </c>
      <c r="C137" s="728"/>
      <c r="D137" s="739">
        <f>-'main TB'!U152</f>
        <v>247014.14999999997</v>
      </c>
      <c r="E137" s="716"/>
      <c r="F137" s="716"/>
      <c r="G137" s="716"/>
      <c r="H137" s="739">
        <f>-'main TB'!M152</f>
        <v>822017.94</v>
      </c>
      <c r="I137" s="728"/>
      <c r="J137" s="726"/>
    </row>
    <row r="138" spans="1:11">
      <c r="A138" s="811"/>
      <c r="B138" s="841" t="s">
        <v>1144</v>
      </c>
      <c r="C138" s="728"/>
      <c r="D138" s="739">
        <f>-'main TB'!X134</f>
        <v>2112319.6</v>
      </c>
      <c r="E138" s="716"/>
      <c r="F138" s="716"/>
      <c r="G138" s="716"/>
      <c r="H138" s="739">
        <f>-'main TB'!X133</f>
        <v>303595.93000000005</v>
      </c>
      <c r="I138" s="728"/>
      <c r="J138" s="726"/>
    </row>
    <row r="139" spans="1:11">
      <c r="A139" s="811"/>
      <c r="B139" s="841" t="s">
        <v>1145</v>
      </c>
      <c r="C139" s="728"/>
      <c r="D139" s="740"/>
      <c r="E139" s="716"/>
      <c r="F139" s="716"/>
      <c r="G139" s="716"/>
      <c r="H139" s="740">
        <f>-SUM('main TB'!H161)</f>
        <v>0</v>
      </c>
      <c r="I139" s="728"/>
      <c r="J139" s="726"/>
      <c r="K139" s="809" t="s">
        <v>1462</v>
      </c>
    </row>
    <row r="140" spans="1:11">
      <c r="A140" s="811"/>
      <c r="B140" s="839" t="s">
        <v>1146</v>
      </c>
      <c r="C140" s="738"/>
      <c r="D140" s="862">
        <f>SUM(D131:D139)</f>
        <v>3773845.09</v>
      </c>
      <c r="E140" s="733"/>
      <c r="F140" s="733"/>
      <c r="G140" s="733"/>
      <c r="H140" s="862">
        <f>SUM(H131:H139)</f>
        <v>2541384.2000000002</v>
      </c>
      <c r="I140" s="738"/>
      <c r="J140" s="736"/>
    </row>
    <row r="141" spans="1:11">
      <c r="A141" s="811"/>
      <c r="B141" s="728"/>
      <c r="C141" s="728"/>
      <c r="D141" s="716"/>
      <c r="E141" s="716"/>
      <c r="F141" s="716"/>
      <c r="G141" s="716"/>
      <c r="H141" s="716"/>
      <c r="I141" s="728"/>
      <c r="J141" s="726"/>
    </row>
    <row r="142" spans="1:11" ht="25.5">
      <c r="A142" s="811"/>
      <c r="B142" s="850" t="s">
        <v>1147</v>
      </c>
      <c r="C142" s="851"/>
      <c r="D142" s="852"/>
      <c r="E142" s="852"/>
      <c r="F142" s="852"/>
      <c r="G142" s="852"/>
      <c r="H142" s="852"/>
      <c r="I142" s="851"/>
      <c r="J142" s="726"/>
    </row>
    <row r="143" spans="1:11">
      <c r="A143" s="845"/>
      <c r="B143" s="842"/>
      <c r="C143" s="842"/>
      <c r="D143" s="745"/>
      <c r="E143" s="745"/>
      <c r="F143" s="745"/>
      <c r="G143" s="745"/>
      <c r="H143" s="745"/>
      <c r="I143" s="842"/>
      <c r="J143" s="746"/>
    </row>
    <row r="145" spans="4:11">
      <c r="D145" s="864">
        <f>D125+D140</f>
        <v>19923408.059999999</v>
      </c>
      <c r="H145" s="864">
        <f>H125+H140</f>
        <v>15245499.949999999</v>
      </c>
    </row>
    <row r="146" spans="4:11">
      <c r="D146" s="864">
        <v>14963851.699999999</v>
      </c>
      <c r="H146" s="864">
        <f>-'main TB'!M167</f>
        <v>15245499.949999999</v>
      </c>
      <c r="K146" s="809">
        <f>SUM(H146-D146)</f>
        <v>281648.25</v>
      </c>
    </row>
    <row r="147" spans="4:11">
      <c r="D147" s="864">
        <f>D145-D146</f>
        <v>4959556.3599999994</v>
      </c>
      <c r="H147" s="864">
        <f>H145-H146</f>
        <v>0</v>
      </c>
    </row>
    <row r="148" spans="4:11">
      <c r="E148" s="864">
        <f>SUM(E146+E140+E125)</f>
        <v>0</v>
      </c>
      <c r="F148" s="864">
        <f>SUM(F146+F140+F125)</f>
        <v>0</v>
      </c>
      <c r="G148" s="864">
        <f>SUM(G146+G140+G125)</f>
        <v>0</v>
      </c>
    </row>
  </sheetData>
  <mergeCells count="2">
    <mergeCell ref="A1:J1"/>
    <mergeCell ref="A2:J2"/>
  </mergeCells>
  <phoneticPr fontId="0" type="noConversion"/>
  <printOptions horizontalCentered="1"/>
  <pageMargins left="0.6692913385826772" right="0.39370078740157483" top="0.98425196850393704" bottom="0.98425196850393704" header="0.51181102362204722" footer="0.51181102362204722"/>
  <pageSetup scale="85" orientation="portrait" r:id="rId1"/>
  <headerFooter>
    <oddHeader>&amp;C FINANCIAL STATEMENTS: MUSINA LOCAL MUNICIPALITY</oddHeader>
    <oddFooter>&amp;RPage &amp;P</oddFooter>
  </headerFooter>
  <rowBreaks count="2" manualBreakCount="2">
    <brk id="57" max="9" man="1"/>
    <brk id="90" max="9" man="1"/>
  </rowBreaks>
  <colBreaks count="1" manualBreakCount="1">
    <brk id="10" max="1048575" man="1"/>
  </colBreaks>
  <legacyDrawing r:id="rId2"/>
</worksheet>
</file>

<file path=xl/worksheets/sheet11.xml><?xml version="1.0" encoding="utf-8"?>
<worksheet xmlns="http://schemas.openxmlformats.org/spreadsheetml/2006/main" xmlns:r="http://schemas.openxmlformats.org/officeDocument/2006/relationships">
  <sheetPr>
    <pageSetUpPr fitToPage="1"/>
  </sheetPr>
  <dimension ref="A1:L61"/>
  <sheetViews>
    <sheetView view="pageBreakPreview" topLeftCell="A4" zoomScaleSheetLayoutView="100" workbookViewId="0">
      <selection activeCell="A14" sqref="A14"/>
    </sheetView>
  </sheetViews>
  <sheetFormatPr defaultRowHeight="12.75"/>
  <cols>
    <col min="1" max="1" width="6" style="1228" customWidth="1"/>
    <col min="2" max="2" width="33" style="1036" customWidth="1"/>
    <col min="3" max="3" width="16.28515625" style="1035" bestFit="1" customWidth="1"/>
    <col min="4" max="4" width="19.42578125" style="1229" bestFit="1" customWidth="1"/>
    <col min="5" max="5" width="18.42578125" style="1229" bestFit="1" customWidth="1"/>
    <col min="6" max="6" width="20.42578125" style="1229" bestFit="1" customWidth="1"/>
    <col min="7" max="7" width="14" style="1229" customWidth="1"/>
    <col min="8" max="8" width="19.85546875" style="1229" bestFit="1" customWidth="1"/>
    <col min="9" max="9" width="2.28515625" style="1036" customWidth="1"/>
    <col min="10" max="10" width="15" style="1229" bestFit="1" customWidth="1"/>
    <col min="11" max="11" width="12.85546875" style="1229" bestFit="1" customWidth="1"/>
    <col min="12" max="12" width="14.5703125" style="1036" bestFit="1" customWidth="1"/>
    <col min="13" max="16384" width="9.140625" style="1036"/>
  </cols>
  <sheetData>
    <row r="1" spans="1:11">
      <c r="A1" s="1336" t="s">
        <v>3477</v>
      </c>
      <c r="B1" s="1337"/>
      <c r="C1" s="1337"/>
      <c r="D1" s="1337"/>
      <c r="E1" s="1337"/>
      <c r="F1" s="1337"/>
      <c r="G1" s="1337"/>
      <c r="H1" s="1337"/>
      <c r="I1" s="1338"/>
    </row>
    <row r="2" spans="1:11">
      <c r="A2" s="1339" t="s">
        <v>3100</v>
      </c>
      <c r="B2" s="1340"/>
      <c r="C2" s="1340"/>
      <c r="D2" s="1340"/>
      <c r="E2" s="1340"/>
      <c r="F2" s="1340"/>
      <c r="G2" s="1340"/>
      <c r="H2" s="1340"/>
      <c r="I2" s="1341"/>
    </row>
    <row r="3" spans="1:11">
      <c r="A3" s="1044"/>
      <c r="B3" s="1038"/>
      <c r="C3" s="1045"/>
      <c r="D3" s="1230"/>
      <c r="E3" s="1230"/>
      <c r="F3" s="1230"/>
      <c r="G3" s="1230"/>
      <c r="H3" s="1230"/>
      <c r="I3" s="1046"/>
    </row>
    <row r="4" spans="1:11" s="1237" customFormat="1" ht="15.75">
      <c r="A4" s="1231" t="s">
        <v>549</v>
      </c>
      <c r="B4" s="1232" t="s">
        <v>1153</v>
      </c>
      <c r="C4" s="1233"/>
      <c r="D4" s="1234"/>
      <c r="E4" s="1234"/>
      <c r="F4" s="1234"/>
      <c r="G4" s="1234"/>
      <c r="H4" s="1234"/>
      <c r="I4" s="1235"/>
      <c r="J4" s="1236"/>
      <c r="K4" s="1236"/>
    </row>
    <row r="5" spans="1:11">
      <c r="A5" s="1044"/>
      <c r="B5" s="1038"/>
      <c r="C5" s="1045"/>
      <c r="D5" s="1230"/>
      <c r="E5" s="1230"/>
      <c r="F5" s="1230"/>
      <c r="G5" s="1230"/>
      <c r="H5" s="1230"/>
      <c r="I5" s="1046"/>
    </row>
    <row r="6" spans="1:11" s="1067" customFormat="1" ht="38.25">
      <c r="A6" s="1044"/>
      <c r="C6" s="1238"/>
      <c r="D6" s="1239" t="s">
        <v>2862</v>
      </c>
      <c r="E6" s="1239" t="s">
        <v>3487</v>
      </c>
      <c r="F6" s="1239" t="s">
        <v>3489</v>
      </c>
      <c r="G6" s="1239" t="s">
        <v>2380</v>
      </c>
      <c r="H6" s="1239" t="s">
        <v>2384</v>
      </c>
      <c r="I6" s="1069"/>
      <c r="J6" s="1240"/>
      <c r="K6" s="1240"/>
    </row>
    <row r="7" spans="1:11" s="1067" customFormat="1">
      <c r="A7" s="1044"/>
      <c r="C7" s="1241" t="s">
        <v>3386</v>
      </c>
      <c r="D7" s="1242" t="s">
        <v>3386</v>
      </c>
      <c r="E7" s="1242" t="s">
        <v>3386</v>
      </c>
      <c r="F7" s="1242" t="s">
        <v>3386</v>
      </c>
      <c r="G7" s="1242" t="s">
        <v>3386</v>
      </c>
      <c r="H7" s="1242" t="s">
        <v>3386</v>
      </c>
      <c r="I7" s="1069"/>
      <c r="J7" s="1240"/>
      <c r="K7" s="1240"/>
    </row>
    <row r="8" spans="1:11" s="1067" customFormat="1" ht="25.5">
      <c r="A8" s="1044"/>
      <c r="B8" s="1120" t="s">
        <v>3001</v>
      </c>
      <c r="C8" s="1241"/>
      <c r="D8" s="1242"/>
      <c r="E8" s="1242"/>
      <c r="F8" s="1242"/>
      <c r="G8" s="1242"/>
      <c r="H8" s="1242">
        <f>SUM('main TB'!H176+'main TB'!H185)</f>
        <v>9185394.7500000149</v>
      </c>
      <c r="I8" s="1069"/>
      <c r="J8" s="1240" t="s">
        <v>55</v>
      </c>
      <c r="K8" s="1240"/>
    </row>
    <row r="9" spans="1:11" s="1067" customFormat="1">
      <c r="A9" s="1044"/>
      <c r="C9" s="1241"/>
      <c r="D9" s="1242"/>
      <c r="E9" s="1242"/>
      <c r="F9" s="1242"/>
      <c r="G9" s="1242"/>
      <c r="H9" s="1243"/>
      <c r="I9" s="1069"/>
      <c r="J9" s="1240"/>
      <c r="K9" s="1240"/>
    </row>
    <row r="10" spans="1:11" s="1038" customFormat="1">
      <c r="A10" s="1044"/>
      <c r="B10" s="1076" t="s">
        <v>1154</v>
      </c>
      <c r="C10" s="1097"/>
      <c r="D10" s="1244"/>
      <c r="E10" s="1244"/>
      <c r="F10" s="1244"/>
      <c r="G10" s="1244"/>
      <c r="H10" s="1244"/>
      <c r="I10" s="1046"/>
      <c r="J10" s="1230"/>
      <c r="K10" s="1230"/>
    </row>
    <row r="11" spans="1:11" s="1047" customFormat="1">
      <c r="A11" s="1044"/>
      <c r="B11" s="1076" t="s">
        <v>3074</v>
      </c>
      <c r="C11" s="1245">
        <f>SUM(C12:C13)</f>
        <v>0</v>
      </c>
      <c r="D11" s="1246">
        <f>SUM(D12:D13)</f>
        <v>12246576.499999996</v>
      </c>
      <c r="E11" s="1246">
        <f>SUM(E12:E13)</f>
        <v>18026020.049999997</v>
      </c>
      <c r="F11" s="1246">
        <f>SUM(F12:F13)</f>
        <v>4335927.1900000004</v>
      </c>
      <c r="G11" s="1246">
        <f>SUM(G12:G13)</f>
        <v>0</v>
      </c>
      <c r="H11" s="1246">
        <f>SUM(C11:G11)</f>
        <v>34608523.739999995</v>
      </c>
      <c r="I11" s="1058"/>
      <c r="J11" s="1247">
        <v>35250523.32</v>
      </c>
      <c r="K11" s="1247">
        <f>H11-J11</f>
        <v>-641999.58000000566</v>
      </c>
    </row>
    <row r="12" spans="1:11" s="1038" customFormat="1">
      <c r="A12" s="1044"/>
      <c r="B12" s="1227" t="s">
        <v>1149</v>
      </c>
      <c r="C12" s="1052"/>
      <c r="D12" s="1248">
        <f>'Appendix B'!B8</f>
        <v>20757593.459999997</v>
      </c>
      <c r="E12" s="1248">
        <f>'Appendix B'!B21</f>
        <v>24099683.079999998</v>
      </c>
      <c r="F12" s="1248">
        <f>'Appendix B'!B26</f>
        <v>8780077.8000000007</v>
      </c>
      <c r="G12" s="1248"/>
      <c r="H12" s="1248">
        <f>SUM(C12:G12)</f>
        <v>53637354.339999989</v>
      </c>
      <c r="I12" s="1046"/>
      <c r="J12" s="1230">
        <v>54567354.340000004</v>
      </c>
      <c r="K12" s="1247">
        <f>H12-J12</f>
        <v>-930000.0000000149</v>
      </c>
    </row>
    <row r="13" spans="1:11" s="1038" customFormat="1">
      <c r="A13" s="1044"/>
      <c r="B13" s="1227" t="s">
        <v>1150</v>
      </c>
      <c r="C13" s="1097"/>
      <c r="D13" s="1244">
        <f>-'Appendix B'!H8</f>
        <v>-8511016.9600000009</v>
      </c>
      <c r="E13" s="1244">
        <f>-'Appendix B'!H21</f>
        <v>-6073663.0300000003</v>
      </c>
      <c r="F13" s="1244">
        <f>-'Appendix B'!H26</f>
        <v>-4444150.6100000003</v>
      </c>
      <c r="G13" s="1244"/>
      <c r="H13" s="1244">
        <f t="shared" ref="H13:H20" si="0">SUM(C13:G13)</f>
        <v>-19028830.600000001</v>
      </c>
      <c r="I13" s="1046"/>
      <c r="J13" s="1230"/>
      <c r="K13" s="1230"/>
    </row>
    <row r="14" spans="1:11" s="1038" customFormat="1">
      <c r="A14" s="1044"/>
      <c r="B14" s="1075" t="s">
        <v>1151</v>
      </c>
      <c r="C14" s="1052"/>
      <c r="D14" s="1248">
        <f>'Appendix B'!C8</f>
        <v>1242908</v>
      </c>
      <c r="E14" s="1248">
        <f>'Appendix B'!C22</f>
        <v>789531.04000000015</v>
      </c>
      <c r="F14" s="1248">
        <f>'Appendix B'!C26</f>
        <v>3312209.09</v>
      </c>
      <c r="G14" s="1248">
        <v>0</v>
      </c>
      <c r="H14" s="1248">
        <f>SUM(C14:G14)</f>
        <v>5344648.13</v>
      </c>
      <c r="I14" s="1046"/>
      <c r="J14" s="1230">
        <f>H14+H15+H16</f>
        <v>90044989.129999995</v>
      </c>
      <c r="K14" s="1230"/>
    </row>
    <row r="15" spans="1:11" s="1038" customFormat="1">
      <c r="A15" s="1044"/>
      <c r="B15" s="1075" t="s">
        <v>1470</v>
      </c>
      <c r="C15" s="1054"/>
      <c r="D15" s="1249"/>
      <c r="E15" s="1249">
        <f>'Appendix B'!C24</f>
        <v>82528503</v>
      </c>
      <c r="F15" s="1249"/>
      <c r="G15" s="1249"/>
      <c r="H15" s="1249">
        <f t="shared" si="0"/>
        <v>82528503</v>
      </c>
      <c r="I15" s="1046"/>
      <c r="J15" s="1230"/>
      <c r="K15" s="1230"/>
    </row>
    <row r="16" spans="1:11" s="1038" customFormat="1">
      <c r="A16" s="1044"/>
      <c r="B16" s="1075" t="s">
        <v>3482</v>
      </c>
      <c r="C16" s="1054"/>
      <c r="D16" s="1249"/>
      <c r="E16" s="1249">
        <f>'Appendix B'!D21</f>
        <v>2171838</v>
      </c>
      <c r="F16" s="1249">
        <v>0</v>
      </c>
      <c r="G16" s="1249">
        <v>0</v>
      </c>
      <c r="H16" s="1249">
        <f t="shared" si="0"/>
        <v>2171838</v>
      </c>
      <c r="I16" s="1046"/>
      <c r="J16" s="1230"/>
      <c r="K16" s="1230"/>
    </row>
    <row r="17" spans="1:12" s="1038" customFormat="1">
      <c r="A17" s="1044"/>
      <c r="B17" s="1075" t="s">
        <v>3483</v>
      </c>
      <c r="C17" s="1054"/>
      <c r="D17" s="1249">
        <f>-'Appendix B'!I8</f>
        <v>-1490469</v>
      </c>
      <c r="E17" s="1250">
        <f>-'Appendix B'!I21</f>
        <v>-880928.52</v>
      </c>
      <c r="F17" s="1250">
        <f>-'Appendix B'!I26</f>
        <v>-1121516.78</v>
      </c>
      <c r="G17" s="1249"/>
      <c r="H17" s="1249">
        <f t="shared" si="0"/>
        <v>-3492914.3</v>
      </c>
      <c r="I17" s="1046"/>
      <c r="J17" s="1230">
        <f>E15+E16</f>
        <v>84700341</v>
      </c>
      <c r="K17" s="1230"/>
    </row>
    <row r="18" spans="1:12" s="1038" customFormat="1">
      <c r="A18" s="1044"/>
      <c r="B18" s="1075" t="s">
        <v>3484</v>
      </c>
      <c r="C18" s="1097">
        <f>SUM(C19:C20)</f>
        <v>0</v>
      </c>
      <c r="D18" s="1244">
        <f>SUM(D19:D20)</f>
        <v>0</v>
      </c>
      <c r="E18" s="1244">
        <f>SUM(E19:E20)</f>
        <v>0</v>
      </c>
      <c r="F18" s="1244">
        <f>SUM(F19:F20)</f>
        <v>0</v>
      </c>
      <c r="G18" s="1244">
        <f>SUM(G19:G20)</f>
        <v>0</v>
      </c>
      <c r="H18" s="1244">
        <f t="shared" si="0"/>
        <v>0</v>
      </c>
      <c r="I18" s="1046"/>
      <c r="J18" s="1230"/>
      <c r="K18" s="1230"/>
    </row>
    <row r="19" spans="1:12" s="1038" customFormat="1">
      <c r="A19" s="1044"/>
      <c r="B19" s="1227" t="s">
        <v>1149</v>
      </c>
      <c r="C19" s="1052"/>
      <c r="D19" s="1248"/>
      <c r="E19" s="1248"/>
      <c r="F19" s="1248"/>
      <c r="G19" s="1248">
        <v>0</v>
      </c>
      <c r="H19" s="1248">
        <f t="shared" si="0"/>
        <v>0</v>
      </c>
      <c r="I19" s="1046"/>
      <c r="J19" s="1247">
        <f>H14+H16</f>
        <v>7516486.1299999999</v>
      </c>
      <c r="K19" s="1230"/>
    </row>
    <row r="20" spans="1:12" s="1038" customFormat="1">
      <c r="A20" s="1044"/>
      <c r="B20" s="1227" t="s">
        <v>3485</v>
      </c>
      <c r="C20" s="1097"/>
      <c r="D20" s="1244">
        <v>0</v>
      </c>
      <c r="E20" s="1244">
        <v>0</v>
      </c>
      <c r="F20" s="1244">
        <v>0</v>
      </c>
      <c r="G20" s="1244">
        <v>0</v>
      </c>
      <c r="H20" s="1244">
        <f t="shared" si="0"/>
        <v>0</v>
      </c>
      <c r="I20" s="1046"/>
      <c r="J20" s="1230"/>
      <c r="K20" s="1230"/>
    </row>
    <row r="21" spans="1:12" s="1047" customFormat="1">
      <c r="A21" s="1044"/>
      <c r="B21" s="1076" t="s">
        <v>3075</v>
      </c>
      <c r="C21" s="1251">
        <f>C22+C23</f>
        <v>0</v>
      </c>
      <c r="D21" s="1250">
        <f>D22+D23</f>
        <v>11999015.499999996</v>
      </c>
      <c r="E21" s="1250">
        <f>E22+E23</f>
        <v>102634963.57000001</v>
      </c>
      <c r="F21" s="1250">
        <f>F22+F23</f>
        <v>6526619.5</v>
      </c>
      <c r="G21" s="1250">
        <f>G22+G23</f>
        <v>0</v>
      </c>
      <c r="H21" s="1250">
        <f>SUM(C21:G21)</f>
        <v>121160598.57000001</v>
      </c>
      <c r="I21" s="1058"/>
      <c r="J21" s="1247">
        <v>121160598.56</v>
      </c>
      <c r="K21" s="1247">
        <f>H21-J21</f>
        <v>1.000000536441803E-2</v>
      </c>
      <c r="L21" s="1247"/>
    </row>
    <row r="22" spans="1:12" s="1038" customFormat="1">
      <c r="A22" s="1044"/>
      <c r="B22" s="1075" t="s">
        <v>1149</v>
      </c>
      <c r="C22" s="1054">
        <f>C12+C14+C16+C19</f>
        <v>0</v>
      </c>
      <c r="D22" s="1249">
        <f>D12+D14+D16+D19</f>
        <v>22000501.459999997</v>
      </c>
      <c r="E22" s="1249">
        <f>E12+E14+E16+E19+E15</f>
        <v>109589555.12</v>
      </c>
      <c r="F22" s="1249">
        <f>F12+F14+F16+F19</f>
        <v>12092286.890000001</v>
      </c>
      <c r="G22" s="1249">
        <f>G12+G14+G16+G19</f>
        <v>0</v>
      </c>
      <c r="H22" s="1249">
        <f>SUM(C22:G22)</f>
        <v>143682343.47</v>
      </c>
      <c r="I22" s="1046"/>
      <c r="J22" s="1230">
        <v>143682343.77000001</v>
      </c>
      <c r="K22" s="1230">
        <f>H22-J22</f>
        <v>-0.30000001192092896</v>
      </c>
    </row>
    <row r="23" spans="1:12" s="1038" customFormat="1">
      <c r="A23" s="1044"/>
      <c r="B23" s="1075" t="s">
        <v>1150</v>
      </c>
      <c r="C23" s="1097">
        <f>C20+C17+C13</f>
        <v>0</v>
      </c>
      <c r="D23" s="1244">
        <f>+D13+D17+D20</f>
        <v>-10001485.960000001</v>
      </c>
      <c r="E23" s="1252">
        <f>E20+E17+E13</f>
        <v>-6954591.5500000007</v>
      </c>
      <c r="F23" s="1252">
        <f>F20+F17+F13</f>
        <v>-5565667.3900000006</v>
      </c>
      <c r="G23" s="1244">
        <f>G20+G17+G13</f>
        <v>0</v>
      </c>
      <c r="H23" s="1244">
        <f>SUM(C23:G23)</f>
        <v>-22521744.900000002</v>
      </c>
      <c r="I23" s="1046"/>
      <c r="J23" s="1230"/>
      <c r="K23" s="1230"/>
    </row>
    <row r="24" spans="1:12" s="1038" customFormat="1">
      <c r="A24" s="1044"/>
      <c r="B24" s="1075"/>
      <c r="C24" s="1045"/>
      <c r="D24" s="1230"/>
      <c r="E24" s="1230"/>
      <c r="F24" s="1230"/>
      <c r="G24" s="1230"/>
      <c r="H24" s="1230"/>
      <c r="I24" s="1046"/>
      <c r="J24" s="1230">
        <f>'Cash Flow Statement'!D24</f>
        <v>-7516486</v>
      </c>
      <c r="K24" s="1230"/>
    </row>
    <row r="25" spans="1:12" s="1038" customFormat="1">
      <c r="A25" s="1044"/>
      <c r="B25" s="1076" t="s">
        <v>1154</v>
      </c>
      <c r="C25" s="1045"/>
      <c r="D25" s="1230"/>
      <c r="E25" s="1230"/>
      <c r="F25" s="1230"/>
      <c r="G25" s="1230"/>
      <c r="H25" s="1230"/>
      <c r="I25" s="1046"/>
      <c r="J25" s="1230">
        <f>J14-H15</f>
        <v>7516486.1299999952</v>
      </c>
      <c r="K25" s="1230"/>
    </row>
    <row r="26" spans="1:12" s="1038" customFormat="1">
      <c r="A26" s="1044"/>
      <c r="B26" s="1076" t="s">
        <v>1148</v>
      </c>
      <c r="C26" s="1245">
        <f>SUM(C27:C28)</f>
        <v>0</v>
      </c>
      <c r="D26" s="1246">
        <f>SUM(D27:D28)</f>
        <v>12412135.18</v>
      </c>
      <c r="E26" s="1248">
        <f>7435985.21+10859489.56</f>
        <v>18295474.77</v>
      </c>
      <c r="F26" s="1246">
        <f>14548259.82-10859489.56</f>
        <v>3688770.26</v>
      </c>
      <c r="G26" s="1246">
        <f>SUM(G27:G28)</f>
        <v>0</v>
      </c>
      <c r="H26" s="1246">
        <f t="shared" ref="H26:H35" si="1">SUM(C26:G26)</f>
        <v>34396380.210000001</v>
      </c>
      <c r="I26" s="1046"/>
      <c r="J26" s="1230">
        <f>H26-H11</f>
        <v>-212143.52999999374</v>
      </c>
      <c r="K26" s="1230"/>
    </row>
    <row r="27" spans="1:12" s="1038" customFormat="1">
      <c r="A27" s="1044"/>
      <c r="B27" s="1227" t="s">
        <v>1149</v>
      </c>
      <c r="C27" s="1052"/>
      <c r="D27" s="1248">
        <v>19440218.809999999</v>
      </c>
      <c r="E27" s="1248">
        <f>E26-E28</f>
        <v>23495703.800000001</v>
      </c>
      <c r="F27" s="1248">
        <f>F26-F28</f>
        <v>7193779.5499999998</v>
      </c>
      <c r="G27" s="1248"/>
      <c r="H27" s="1248">
        <f t="shared" si="1"/>
        <v>50129702.159999996</v>
      </c>
      <c r="I27" s="1046"/>
      <c r="J27" s="1230">
        <v>35</v>
      </c>
      <c r="K27" s="1230"/>
    </row>
    <row r="28" spans="1:12" s="1038" customFormat="1">
      <c r="A28" s="1044"/>
      <c r="B28" s="1227" t="s">
        <v>1150</v>
      </c>
      <c r="C28" s="1097"/>
      <c r="D28" s="1244">
        <v>-7028083.6299999999</v>
      </c>
      <c r="E28" s="1244">
        <f>-2031073.07-3169155.96</f>
        <v>-5200229.03</v>
      </c>
      <c r="F28" s="1244">
        <f>-6926165.25+3421155.96</f>
        <v>-3505009.29</v>
      </c>
      <c r="G28" s="1244"/>
      <c r="H28" s="1244">
        <f t="shared" si="1"/>
        <v>-15733321.949999999</v>
      </c>
      <c r="I28" s="1046"/>
      <c r="J28" s="1230"/>
      <c r="K28" s="1230"/>
    </row>
    <row r="29" spans="1:12" s="1038" customFormat="1">
      <c r="A29" s="1044"/>
      <c r="B29" s="1075" t="s">
        <v>1151</v>
      </c>
      <c r="C29" s="1052"/>
      <c r="D29" s="1248">
        <f>1317374.65+0.42</f>
        <v>1317375.0699999998</v>
      </c>
      <c r="E29" s="1248">
        <v>603979.28</v>
      </c>
      <c r="F29" s="1248">
        <f>2190277.53-603979.28</f>
        <v>1586298.2499999998</v>
      </c>
      <c r="G29" s="1248">
        <v>0</v>
      </c>
      <c r="H29" s="1248">
        <f t="shared" si="1"/>
        <v>3507652.5999999996</v>
      </c>
      <c r="I29" s="1046"/>
      <c r="J29" s="1230"/>
      <c r="K29" s="1230"/>
    </row>
    <row r="30" spans="1:12" s="1038" customFormat="1">
      <c r="A30" s="1044"/>
      <c r="B30" s="1075" t="s">
        <v>3482</v>
      </c>
      <c r="C30" s="1054"/>
      <c r="D30" s="1249"/>
      <c r="E30" s="1249"/>
      <c r="F30" s="1249"/>
      <c r="G30" s="1249">
        <v>0</v>
      </c>
      <c r="H30" s="1249">
        <f t="shared" si="1"/>
        <v>0</v>
      </c>
      <c r="I30" s="1046"/>
      <c r="J30" s="1230"/>
      <c r="K30" s="1230"/>
    </row>
    <row r="31" spans="1:12" s="1038" customFormat="1">
      <c r="A31" s="1044"/>
      <c r="B31" s="1075" t="s">
        <v>3483</v>
      </c>
      <c r="C31" s="1054"/>
      <c r="D31" s="1249">
        <v>-1482933.76</v>
      </c>
      <c r="E31" s="1249">
        <v>-873434</v>
      </c>
      <c r="F31" s="1249">
        <v>-939141.32</v>
      </c>
      <c r="G31" s="1249"/>
      <c r="H31" s="1249">
        <f t="shared" si="1"/>
        <v>-3295509.0799999996</v>
      </c>
      <c r="I31" s="1046"/>
      <c r="J31" s="1230">
        <v>3295509.08</v>
      </c>
      <c r="K31" s="1230">
        <f>-H31-J31</f>
        <v>0</v>
      </c>
    </row>
    <row r="32" spans="1:12" s="1038" customFormat="1">
      <c r="A32" s="1044"/>
      <c r="B32" s="1075" t="s">
        <v>3484</v>
      </c>
      <c r="C32" s="1097">
        <f>SUM(C33:C34)</f>
        <v>0</v>
      </c>
      <c r="D32" s="1244">
        <f>SUM(D33:D34)</f>
        <v>0</v>
      </c>
      <c r="E32" s="1244">
        <f>SUM(E33:E34)</f>
        <v>0</v>
      </c>
      <c r="F32" s="1244">
        <v>0</v>
      </c>
      <c r="G32" s="1244"/>
      <c r="H32" s="1244">
        <f t="shared" si="1"/>
        <v>0</v>
      </c>
      <c r="I32" s="1046"/>
      <c r="J32" s="1230">
        <v>3331509.08</v>
      </c>
      <c r="K32" s="1230"/>
    </row>
    <row r="33" spans="1:11" s="1038" customFormat="1">
      <c r="A33" s="1044"/>
      <c r="B33" s="1227" t="s">
        <v>1149</v>
      </c>
      <c r="C33" s="1052"/>
      <c r="D33" s="1248"/>
      <c r="E33" s="1248"/>
      <c r="F33" s="1248"/>
      <c r="G33" s="1248">
        <v>0</v>
      </c>
      <c r="H33" s="1248">
        <f t="shared" si="1"/>
        <v>0</v>
      </c>
      <c r="I33" s="1046"/>
      <c r="J33" s="1230">
        <f>J32-J31</f>
        <v>36000</v>
      </c>
      <c r="K33" s="1230"/>
    </row>
    <row r="34" spans="1:11" s="1038" customFormat="1">
      <c r="A34" s="1044"/>
      <c r="B34" s="1227" t="s">
        <v>3485</v>
      </c>
      <c r="C34" s="1097"/>
      <c r="D34" s="1244">
        <v>0</v>
      </c>
      <c r="E34" s="1244">
        <v>0</v>
      </c>
      <c r="F34" s="1244">
        <v>0</v>
      </c>
      <c r="G34" s="1244">
        <v>0</v>
      </c>
      <c r="H34" s="1244">
        <f t="shared" si="1"/>
        <v>0</v>
      </c>
      <c r="I34" s="1046"/>
      <c r="J34" s="1230"/>
      <c r="K34" s="1230"/>
    </row>
    <row r="35" spans="1:11" s="1038" customFormat="1">
      <c r="A35" s="1044"/>
      <c r="B35" s="1075" t="s">
        <v>3486</v>
      </c>
      <c r="C35" s="1054"/>
      <c r="D35" s="1249"/>
      <c r="E35" s="1249"/>
      <c r="F35" s="1249"/>
      <c r="G35" s="1249">
        <v>0</v>
      </c>
      <c r="H35" s="1249">
        <f t="shared" si="1"/>
        <v>0</v>
      </c>
      <c r="I35" s="1046"/>
      <c r="J35" s="1230"/>
      <c r="K35" s="1230"/>
    </row>
    <row r="36" spans="1:11" s="1047" customFormat="1">
      <c r="A36" s="1044"/>
      <c r="B36" s="1076" t="s">
        <v>1152</v>
      </c>
      <c r="C36" s="1251">
        <f>C37+C38</f>
        <v>0</v>
      </c>
      <c r="D36" s="1250">
        <f>D37+D38</f>
        <v>12246576.5</v>
      </c>
      <c r="E36" s="1250">
        <f>E37+E38</f>
        <v>18026020.049999997</v>
      </c>
      <c r="F36" s="1250">
        <f>F37+F38</f>
        <v>4335927.1900000004</v>
      </c>
      <c r="G36" s="1250">
        <f>G37+G38</f>
        <v>0</v>
      </c>
      <c r="H36" s="1250">
        <f>SUM(H37:H38)</f>
        <v>34608523.739999995</v>
      </c>
      <c r="I36" s="1058"/>
      <c r="J36" s="1247">
        <f>H36-H11</f>
        <v>0</v>
      </c>
      <c r="K36" s="1247"/>
    </row>
    <row r="37" spans="1:11" s="1038" customFormat="1">
      <c r="A37" s="1044"/>
      <c r="B37" s="1075" t="s">
        <v>1149</v>
      </c>
      <c r="C37" s="1054">
        <f>C27+C29+C30+C33+C35</f>
        <v>0</v>
      </c>
      <c r="D37" s="1249">
        <f>D27+D29+D30+D33+D35+0.01</f>
        <v>20757593.890000001</v>
      </c>
      <c r="E37" s="1249">
        <f>E12</f>
        <v>24099683.079999998</v>
      </c>
      <c r="F37" s="1249">
        <f>F12</f>
        <v>8780077.8000000007</v>
      </c>
      <c r="G37" s="1249">
        <f>G27+G29+G30+G33+G35</f>
        <v>0</v>
      </c>
      <c r="H37" s="1249">
        <f>SUM(C37:G37)</f>
        <v>53637354.769999996</v>
      </c>
      <c r="I37" s="1046"/>
      <c r="J37" s="1230"/>
      <c r="K37" s="1230"/>
    </row>
    <row r="38" spans="1:11" s="1038" customFormat="1">
      <c r="A38" s="1044"/>
      <c r="B38" s="1075" t="s">
        <v>1150</v>
      </c>
      <c r="C38" s="1097">
        <f>C34+C31+C28</f>
        <v>0</v>
      </c>
      <c r="D38" s="1244">
        <f>D34+D31+D28</f>
        <v>-8511017.3900000006</v>
      </c>
      <c r="E38" s="1244">
        <f>E13</f>
        <v>-6073663.0300000003</v>
      </c>
      <c r="F38" s="1244">
        <f>F13</f>
        <v>-4444150.6100000003</v>
      </c>
      <c r="G38" s="1244">
        <f>G34+G31+G28</f>
        <v>0</v>
      </c>
      <c r="H38" s="1244">
        <f>SUM(C38:G38)</f>
        <v>-19028831.030000001</v>
      </c>
      <c r="I38" s="1046"/>
      <c r="J38" s="1230"/>
      <c r="K38" s="1230"/>
    </row>
    <row r="39" spans="1:11" s="1038" customFormat="1">
      <c r="A39" s="1062"/>
      <c r="B39" s="1063"/>
      <c r="C39" s="1064"/>
      <c r="D39" s="1253"/>
      <c r="E39" s="1253"/>
      <c r="F39" s="1253"/>
      <c r="G39" s="1253"/>
      <c r="H39" s="1253"/>
      <c r="I39" s="1065"/>
      <c r="J39" s="1230">
        <f>H11-H36</f>
        <v>0</v>
      </c>
      <c r="K39" s="1230"/>
    </row>
    <row r="40" spans="1:11" s="1038" customFormat="1" ht="57.75" customHeight="1">
      <c r="A40" s="1067"/>
      <c r="B40" s="1342" t="s">
        <v>578</v>
      </c>
      <c r="C40" s="1342"/>
      <c r="D40" s="1342"/>
      <c r="E40" s="1342"/>
      <c r="F40" s="1342"/>
      <c r="G40" s="1342"/>
      <c r="H40" s="1342"/>
      <c r="J40" s="1230"/>
      <c r="K40" s="1230"/>
    </row>
    <row r="41" spans="1:11" s="1038" customFormat="1">
      <c r="A41" s="1067"/>
      <c r="B41" s="1343"/>
      <c r="C41" s="1343"/>
      <c r="D41" s="1343"/>
      <c r="E41" s="1343"/>
      <c r="F41" s="1343"/>
      <c r="G41" s="1343"/>
      <c r="H41" s="1343"/>
      <c r="J41" s="1230"/>
      <c r="K41" s="1230"/>
    </row>
    <row r="42" spans="1:11" s="1038" customFormat="1">
      <c r="A42" s="1067"/>
      <c r="C42" s="1045"/>
      <c r="D42" s="1230"/>
      <c r="E42" s="1230"/>
      <c r="F42" s="1230"/>
      <c r="G42" s="1230"/>
      <c r="H42" s="1230"/>
      <c r="J42" s="1230"/>
      <c r="K42" s="1230"/>
    </row>
    <row r="43" spans="1:11" s="1038" customFormat="1">
      <c r="A43" s="1067"/>
      <c r="C43" s="1045"/>
      <c r="D43" s="1230"/>
      <c r="E43" s="1230"/>
      <c r="F43" s="1230"/>
      <c r="G43" s="1230"/>
      <c r="H43" s="1230"/>
      <c r="J43" s="1230"/>
      <c r="K43" s="1230"/>
    </row>
    <row r="44" spans="1:11" s="1038" customFormat="1">
      <c r="A44" s="1067"/>
      <c r="C44" s="1045"/>
      <c r="D44" s="1230"/>
      <c r="E44" s="1230"/>
      <c r="F44" s="1230"/>
      <c r="G44" s="1230"/>
      <c r="H44" s="1230"/>
      <c r="J44" s="1230"/>
      <c r="K44" s="1230"/>
    </row>
    <row r="45" spans="1:11">
      <c r="B45" s="1074" t="s">
        <v>3372</v>
      </c>
      <c r="C45" s="1035">
        <v>0</v>
      </c>
      <c r="D45" s="1229">
        <v>0</v>
      </c>
      <c r="E45" s="1229">
        <v>0</v>
      </c>
      <c r="F45" s="1229">
        <v>0</v>
      </c>
      <c r="J45" s="1229">
        <f>J39-H16</f>
        <v>-2171838</v>
      </c>
    </row>
    <row r="46" spans="1:11">
      <c r="B46" s="1074" t="s">
        <v>3373</v>
      </c>
      <c r="C46" s="1035">
        <v>0</v>
      </c>
      <c r="D46" s="1229">
        <v>0</v>
      </c>
      <c r="E46" s="1229">
        <v>0</v>
      </c>
      <c r="F46" s="1229">
        <v>0</v>
      </c>
    </row>
    <row r="47" spans="1:11">
      <c r="D47" s="1229">
        <f>D11-D36</f>
        <v>0</v>
      </c>
      <c r="E47" s="1229">
        <f>E11-E36</f>
        <v>0</v>
      </c>
      <c r="F47" s="1229">
        <f>F11-F36</f>
        <v>0</v>
      </c>
    </row>
    <row r="48" spans="1:11">
      <c r="F48" s="1229">
        <f>114638630.42-112466792.42</f>
        <v>2171838</v>
      </c>
    </row>
    <row r="49" spans="2:8">
      <c r="E49" s="1229">
        <v>2180331.87</v>
      </c>
    </row>
    <row r="50" spans="2:8">
      <c r="D50" s="1229">
        <v>1482933.76</v>
      </c>
      <c r="E50" s="1229">
        <f>E49-E16</f>
        <v>8493.8700000001118</v>
      </c>
    </row>
    <row r="51" spans="2:8">
      <c r="D51" s="1229">
        <f>-D31-D50</f>
        <v>0</v>
      </c>
    </row>
    <row r="52" spans="2:8">
      <c r="E52" s="1229">
        <f>E15</f>
        <v>82528503</v>
      </c>
    </row>
    <row r="53" spans="2:8">
      <c r="E53" s="1229">
        <v>82528503</v>
      </c>
    </row>
    <row r="54" spans="2:8">
      <c r="E54" s="1229">
        <f>E52-E53</f>
        <v>0</v>
      </c>
    </row>
    <row r="57" spans="2:8">
      <c r="B57" s="1036" t="s">
        <v>1502</v>
      </c>
      <c r="D57" s="1229">
        <f>'main TB'!U20</f>
        <v>-10001486.210000001</v>
      </c>
      <c r="E57" s="1229">
        <f>'main TB'!U21</f>
        <v>-6955345.5999999996</v>
      </c>
      <c r="F57" s="1229">
        <f>'main TB'!U22</f>
        <v>-5564913.4000000004</v>
      </c>
      <c r="H57" s="1229">
        <f>SUM(C57:G57)</f>
        <v>-22521745.210000001</v>
      </c>
    </row>
    <row r="58" spans="2:8">
      <c r="B58" s="1036" t="s">
        <v>1503</v>
      </c>
      <c r="D58" s="1229">
        <f>D23-D57</f>
        <v>0.25</v>
      </c>
      <c r="E58" s="1229">
        <f>E23-E57</f>
        <v>754.04999999888241</v>
      </c>
      <c r="F58" s="1229">
        <f>F23-F57</f>
        <v>-753.99000000022352</v>
      </c>
      <c r="H58" s="1229">
        <f>H23-H57</f>
        <v>0.30999999865889549</v>
      </c>
    </row>
    <row r="60" spans="2:8">
      <c r="B60" s="1036" t="s">
        <v>1504</v>
      </c>
      <c r="D60" s="1229">
        <f>'main TB'!U171</f>
        <v>22000501.760000002</v>
      </c>
      <c r="E60" s="1229">
        <f>'main TB'!U172</f>
        <v>109589555.11999999</v>
      </c>
      <c r="F60" s="1229">
        <f>'main TB'!U173</f>
        <v>12092286.890000001</v>
      </c>
      <c r="H60" s="1229">
        <f>SUM(C60:G60)</f>
        <v>143682343.76999998</v>
      </c>
    </row>
    <row r="61" spans="2:8">
      <c r="B61" s="1036" t="str">
        <f>B58</f>
        <v>Difference with Note 10</v>
      </c>
      <c r="D61" s="1229">
        <f>D22-D60</f>
        <v>-0.30000000447034836</v>
      </c>
      <c r="E61" s="1229">
        <f>E22-E60</f>
        <v>0</v>
      </c>
      <c r="F61" s="1229">
        <f>F22-F60</f>
        <v>0</v>
      </c>
      <c r="H61" s="1229">
        <f>H22-H60</f>
        <v>-0.29999998211860657</v>
      </c>
    </row>
  </sheetData>
  <mergeCells count="3">
    <mergeCell ref="A1:I1"/>
    <mergeCell ref="A2:I2"/>
    <mergeCell ref="B40:H41"/>
  </mergeCells>
  <phoneticPr fontId="0" type="noConversion"/>
  <printOptions horizontalCentered="1"/>
  <pageMargins left="0.6692913385826772" right="0.39370078740157483" top="0.98425196850393704" bottom="0.98425196850393704" header="0.51181102362204722" footer="0.51181102362204722"/>
  <pageSetup scale="79" orientation="landscape" r:id="rId1"/>
  <headerFooter>
    <oddHeader>&amp;C FINANCIAL STATEMENTS: MUSINA LOCAL MUNICIPALITY</oddHeader>
    <oddFooter>&amp;RPage &amp;P</oddFooter>
  </headerFooter>
</worksheet>
</file>

<file path=xl/worksheets/sheet12.xml><?xml version="1.0" encoding="utf-8"?>
<worksheet xmlns="http://schemas.openxmlformats.org/spreadsheetml/2006/main" xmlns:r="http://schemas.openxmlformats.org/officeDocument/2006/relationships">
  <dimension ref="A1:M81"/>
  <sheetViews>
    <sheetView view="pageBreakPreview" topLeftCell="A19" zoomScaleSheetLayoutView="100" workbookViewId="0">
      <selection activeCell="A14" sqref="A14"/>
    </sheetView>
  </sheetViews>
  <sheetFormatPr defaultRowHeight="12.75"/>
  <cols>
    <col min="1" max="1" width="9.140625" style="881" customWidth="1"/>
    <col min="2" max="2" width="39.85546875" style="867" customWidth="1"/>
    <col min="3" max="3" width="2.28515625" style="867" customWidth="1"/>
    <col min="4" max="4" width="20.28515625" style="915" customWidth="1"/>
    <col min="5" max="7" width="2.28515625" style="867" customWidth="1"/>
    <col min="8" max="8" width="18.28515625" style="915" bestFit="1" customWidth="1"/>
    <col min="9" max="9" width="2.28515625" style="867" customWidth="1"/>
    <col min="10" max="10" width="10.28515625" style="865" bestFit="1" customWidth="1"/>
    <col min="11" max="11" width="15" style="866" bestFit="1" customWidth="1"/>
    <col min="12" max="12" width="9.140625" style="866" customWidth="1"/>
    <col min="13" max="13" width="14.5703125" style="866" bestFit="1" customWidth="1"/>
    <col min="14" max="16384" width="9.140625" style="867"/>
  </cols>
  <sheetData>
    <row r="1" spans="1:13">
      <c r="A1" s="1344" t="s">
        <v>3477</v>
      </c>
      <c r="B1" s="1344"/>
      <c r="C1" s="1344"/>
      <c r="D1" s="1344"/>
      <c r="E1" s="1344"/>
      <c r="F1" s="1344"/>
      <c r="G1" s="1344"/>
      <c r="H1" s="1344"/>
      <c r="I1" s="1344"/>
    </row>
    <row r="2" spans="1:13">
      <c r="A2" s="1345" t="s">
        <v>3100</v>
      </c>
      <c r="B2" s="1345"/>
      <c r="C2" s="1345"/>
      <c r="D2" s="1345"/>
      <c r="E2" s="1345"/>
      <c r="F2" s="1345"/>
      <c r="G2" s="1345"/>
      <c r="H2" s="1345"/>
      <c r="I2" s="1345"/>
    </row>
    <row r="3" spans="1:13">
      <c r="A3" s="868"/>
      <c r="B3" s="869"/>
      <c r="C3" s="869"/>
      <c r="D3" s="870"/>
      <c r="E3" s="869"/>
      <c r="F3" s="869"/>
      <c r="G3" s="869"/>
      <c r="H3" s="870"/>
      <c r="I3" s="869"/>
    </row>
    <row r="4" spans="1:13" s="1013" customFormat="1">
      <c r="A4" s="1006"/>
      <c r="B4" s="1007"/>
      <c r="C4" s="1007"/>
      <c r="D4" s="1008"/>
      <c r="E4" s="1009"/>
      <c r="F4" s="1009"/>
      <c r="G4" s="1009"/>
      <c r="H4" s="1008"/>
      <c r="I4" s="1010"/>
      <c r="J4" s="1011"/>
      <c r="K4" s="1012"/>
      <c r="L4" s="1012"/>
      <c r="M4" s="1012"/>
    </row>
    <row r="5" spans="1:13" s="1013" customFormat="1">
      <c r="A5" s="1014"/>
      <c r="B5" s="1011"/>
      <c r="C5" s="1011"/>
      <c r="D5" s="390" t="s">
        <v>2241</v>
      </c>
      <c r="E5" s="312"/>
      <c r="F5" s="312"/>
      <c r="G5" s="312"/>
      <c r="H5" s="390" t="s">
        <v>3558</v>
      </c>
      <c r="I5" s="1015"/>
      <c r="J5" s="1011"/>
      <c r="K5" s="1012"/>
      <c r="L5" s="1012"/>
      <c r="M5" s="1012"/>
    </row>
    <row r="6" spans="1:13" s="1013" customFormat="1">
      <c r="A6" s="1016" t="s">
        <v>588</v>
      </c>
      <c r="B6" s="1017" t="s">
        <v>589</v>
      </c>
      <c r="C6" s="1011"/>
      <c r="D6" s="1018"/>
      <c r="E6" s="1019"/>
      <c r="F6" s="1019"/>
      <c r="G6" s="1019"/>
      <c r="H6" s="1018"/>
      <c r="I6" s="1015"/>
      <c r="J6" s="1011"/>
      <c r="K6" s="1012"/>
      <c r="L6" s="1012"/>
      <c r="M6" s="1012"/>
    </row>
    <row r="7" spans="1:13" s="1013" customFormat="1">
      <c r="A7" s="1020"/>
      <c r="B7" s="1011"/>
      <c r="C7" s="1011"/>
      <c r="D7" s="1018"/>
      <c r="E7" s="1019"/>
      <c r="F7" s="1019"/>
      <c r="G7" s="1019"/>
      <c r="H7" s="1018"/>
      <c r="I7" s="1015"/>
      <c r="J7" s="1011"/>
      <c r="K7" s="1012"/>
      <c r="L7" s="1012"/>
      <c r="M7" s="1012"/>
    </row>
    <row r="8" spans="1:13" s="1013" customFormat="1" ht="102">
      <c r="A8" s="1020"/>
      <c r="B8" s="1023" t="s">
        <v>590</v>
      </c>
      <c r="C8" s="1024"/>
      <c r="D8" s="1025"/>
      <c r="E8" s="1025"/>
      <c r="F8" s="1025"/>
      <c r="G8" s="1025"/>
      <c r="H8" s="1025"/>
      <c r="I8" s="1026"/>
      <c r="J8" s="1011"/>
      <c r="K8" s="1012"/>
      <c r="L8" s="1012"/>
      <c r="M8" s="1012"/>
    </row>
    <row r="9" spans="1:13" s="1013" customFormat="1">
      <c r="A9" s="1027"/>
      <c r="B9" s="1028"/>
      <c r="C9" s="1028"/>
      <c r="D9" s="1021"/>
      <c r="E9" s="1029"/>
      <c r="F9" s="1029"/>
      <c r="G9" s="1029"/>
      <c r="H9" s="1021"/>
      <c r="I9" s="1022"/>
      <c r="J9" s="1011"/>
      <c r="K9" s="1012"/>
      <c r="L9" s="1012"/>
      <c r="M9" s="1012"/>
    </row>
    <row r="10" spans="1:13" s="1013" customFormat="1">
      <c r="A10" s="1020"/>
      <c r="B10" s="1011"/>
      <c r="C10" s="1011"/>
      <c r="D10" s="1021"/>
      <c r="E10" s="1019"/>
      <c r="F10" s="1019"/>
      <c r="G10" s="1019"/>
      <c r="H10" s="1021"/>
      <c r="I10" s="1015"/>
      <c r="J10" s="1011"/>
      <c r="K10" s="1012"/>
      <c r="L10" s="1012"/>
      <c r="M10" s="1012"/>
    </row>
    <row r="11" spans="1:13" s="881" customFormat="1">
      <c r="A11" s="875"/>
      <c r="B11" s="876"/>
      <c r="C11" s="876"/>
      <c r="D11" s="877" t="s">
        <v>2241</v>
      </c>
      <c r="E11" s="876"/>
      <c r="F11" s="876"/>
      <c r="G11" s="876"/>
      <c r="H11" s="877" t="s">
        <v>3558</v>
      </c>
      <c r="I11" s="878"/>
      <c r="J11" s="879"/>
      <c r="K11" s="880"/>
      <c r="L11" s="880"/>
      <c r="M11" s="880"/>
    </row>
    <row r="12" spans="1:13" s="881" customFormat="1">
      <c r="A12" s="875"/>
      <c r="B12" s="876"/>
      <c r="C12" s="876"/>
      <c r="D12" s="882" t="s">
        <v>3386</v>
      </c>
      <c r="E12" s="876"/>
      <c r="F12" s="876"/>
      <c r="G12" s="876"/>
      <c r="H12" s="882" t="s">
        <v>3386</v>
      </c>
      <c r="I12" s="878"/>
      <c r="J12" s="879"/>
      <c r="K12" s="880"/>
      <c r="L12" s="880"/>
      <c r="M12" s="880"/>
    </row>
    <row r="13" spans="1:13">
      <c r="A13" s="875"/>
      <c r="B13" s="869"/>
      <c r="C13" s="869"/>
      <c r="D13" s="870"/>
      <c r="E13" s="869"/>
      <c r="F13" s="869"/>
      <c r="G13" s="869"/>
      <c r="H13" s="870"/>
      <c r="I13" s="883"/>
    </row>
    <row r="14" spans="1:13" s="890" customFormat="1">
      <c r="A14" s="884" t="s">
        <v>994</v>
      </c>
      <c r="B14" s="885" t="s">
        <v>3434</v>
      </c>
      <c r="C14" s="886"/>
      <c r="D14" s="886"/>
      <c r="E14" s="886"/>
      <c r="F14" s="886"/>
      <c r="G14" s="886"/>
      <c r="H14" s="886"/>
      <c r="I14" s="887"/>
      <c r="J14" s="888"/>
      <c r="K14" s="889"/>
      <c r="L14" s="889"/>
      <c r="M14" s="889"/>
    </row>
    <row r="15" spans="1:13" s="890" customFormat="1">
      <c r="A15" s="875"/>
      <c r="B15" s="885"/>
      <c r="C15" s="886"/>
      <c r="D15" s="886"/>
      <c r="E15" s="886"/>
      <c r="F15" s="886"/>
      <c r="G15" s="886"/>
      <c r="H15" s="886"/>
      <c r="I15" s="887"/>
      <c r="J15" s="888"/>
      <c r="K15" s="889"/>
      <c r="L15" s="889"/>
      <c r="M15" s="889"/>
    </row>
    <row r="16" spans="1:13">
      <c r="A16" s="875"/>
      <c r="B16" s="885" t="s">
        <v>3490</v>
      </c>
      <c r="C16" s="869"/>
      <c r="D16" s="891">
        <f>SUM(D17:D21)</f>
        <v>0</v>
      </c>
      <c r="E16" s="886"/>
      <c r="F16" s="886"/>
      <c r="G16" s="886"/>
      <c r="H16" s="891">
        <f>SUM(H17:H21)</f>
        <v>87947</v>
      </c>
      <c r="I16" s="883"/>
      <c r="J16" s="865">
        <f>'main TB'!M187</f>
        <v>87947.05</v>
      </c>
    </row>
    <row r="17" spans="1:13">
      <c r="A17" s="875"/>
      <c r="B17" s="892" t="s">
        <v>3491</v>
      </c>
      <c r="C17" s="869"/>
      <c r="D17" s="893">
        <v>0</v>
      </c>
      <c r="E17" s="869"/>
      <c r="F17" s="869"/>
      <c r="G17" s="869"/>
      <c r="H17" s="893">
        <v>64990.61</v>
      </c>
      <c r="I17" s="883"/>
      <c r="J17" s="865">
        <f>H16-J16</f>
        <v>-5.0000000002910383E-2</v>
      </c>
    </row>
    <row r="18" spans="1:13">
      <c r="A18" s="875"/>
      <c r="B18" s="892" t="s">
        <v>3492</v>
      </c>
      <c r="C18" s="869"/>
      <c r="D18" s="715">
        <v>0</v>
      </c>
      <c r="E18" s="869"/>
      <c r="F18" s="869"/>
      <c r="G18" s="869"/>
      <c r="H18" s="715">
        <v>11896.39</v>
      </c>
      <c r="I18" s="883"/>
    </row>
    <row r="19" spans="1:13">
      <c r="A19" s="875"/>
      <c r="B19" s="892" t="s">
        <v>3493</v>
      </c>
      <c r="C19" s="869"/>
      <c r="D19" s="715"/>
      <c r="E19" s="869"/>
      <c r="F19" s="869"/>
      <c r="G19" s="869"/>
      <c r="H19" s="715">
        <v>11060</v>
      </c>
      <c r="I19" s="883"/>
    </row>
    <row r="20" spans="1:13">
      <c r="A20" s="875"/>
      <c r="B20" s="892" t="s">
        <v>3494</v>
      </c>
      <c r="C20" s="869"/>
      <c r="D20" s="715"/>
      <c r="E20" s="869"/>
      <c r="F20" s="869"/>
      <c r="G20" s="869"/>
      <c r="H20" s="715"/>
      <c r="I20" s="883"/>
    </row>
    <row r="21" spans="1:13">
      <c r="A21" s="875"/>
      <c r="B21" s="892"/>
      <c r="C21" s="869"/>
      <c r="D21" s="894">
        <v>0</v>
      </c>
      <c r="E21" s="869"/>
      <c r="F21" s="869"/>
      <c r="G21" s="869"/>
      <c r="H21" s="894"/>
      <c r="I21" s="883"/>
    </row>
    <row r="22" spans="1:13">
      <c r="A22" s="875"/>
      <c r="B22" s="895"/>
      <c r="C22" s="869"/>
      <c r="D22" s="870"/>
      <c r="E22" s="869"/>
      <c r="F22" s="869"/>
      <c r="G22" s="869"/>
      <c r="H22" s="870"/>
      <c r="I22" s="883"/>
    </row>
    <row r="23" spans="1:13" s="890" customFormat="1">
      <c r="A23" s="875"/>
      <c r="B23" s="885" t="s">
        <v>3495</v>
      </c>
      <c r="C23" s="886"/>
      <c r="D23" s="891">
        <f>D24</f>
        <v>0</v>
      </c>
      <c r="E23" s="886"/>
      <c r="F23" s="886"/>
      <c r="G23" s="886"/>
      <c r="H23" s="891">
        <f>H24</f>
        <v>0</v>
      </c>
      <c r="I23" s="887"/>
      <c r="J23" s="888"/>
      <c r="K23" s="889"/>
      <c r="L23" s="889"/>
      <c r="M23" s="889"/>
    </row>
    <row r="24" spans="1:13">
      <c r="A24" s="875"/>
      <c r="B24" s="895" t="s">
        <v>3496</v>
      </c>
      <c r="C24" s="869"/>
      <c r="D24" s="896"/>
      <c r="E24" s="869"/>
      <c r="F24" s="869"/>
      <c r="G24" s="869"/>
      <c r="H24" s="896"/>
      <c r="I24" s="883"/>
    </row>
    <row r="25" spans="1:13">
      <c r="A25" s="875"/>
      <c r="B25" s="895"/>
      <c r="C25" s="869"/>
      <c r="D25" s="870"/>
      <c r="E25" s="869"/>
      <c r="F25" s="869"/>
      <c r="G25" s="869"/>
      <c r="H25" s="870"/>
      <c r="I25" s="883"/>
    </row>
    <row r="26" spans="1:13" s="890" customFormat="1">
      <c r="A26" s="875"/>
      <c r="B26" s="885" t="s">
        <v>2628</v>
      </c>
      <c r="C26" s="886"/>
      <c r="D26" s="891">
        <f>SUM(D27:D29)</f>
        <v>4133810</v>
      </c>
      <c r="E26" s="886"/>
      <c r="F26" s="886"/>
      <c r="G26" s="886"/>
      <c r="H26" s="891">
        <f>SUM(H27:H29)</f>
        <v>2101797</v>
      </c>
      <c r="I26" s="887"/>
      <c r="J26" s="888"/>
      <c r="K26" s="889">
        <f>'main TB'!U189</f>
        <v>4133810</v>
      </c>
      <c r="L26" s="889"/>
      <c r="M26" s="889"/>
    </row>
    <row r="27" spans="1:13" s="890" customFormat="1">
      <c r="A27" s="875"/>
      <c r="B27" s="885" t="s">
        <v>3014</v>
      </c>
      <c r="C27" s="886"/>
      <c r="D27" s="897">
        <f>+H26</f>
        <v>2101797</v>
      </c>
      <c r="E27" s="886"/>
      <c r="F27" s="886"/>
      <c r="G27" s="886"/>
      <c r="H27" s="897">
        <f>'main TB'!H189</f>
        <v>100</v>
      </c>
      <c r="I27" s="887"/>
      <c r="J27" s="888"/>
      <c r="K27" s="889">
        <f>K26-D26</f>
        <v>0</v>
      </c>
      <c r="L27" s="889"/>
      <c r="M27" s="889"/>
    </row>
    <row r="28" spans="1:13" s="890" customFormat="1">
      <c r="A28" s="875"/>
      <c r="B28" s="895" t="s">
        <v>1459</v>
      </c>
      <c r="C28" s="886"/>
      <c r="D28" s="715">
        <v>0</v>
      </c>
      <c r="E28" s="886"/>
      <c r="F28" s="886"/>
      <c r="G28" s="886"/>
      <c r="H28" s="898">
        <v>0</v>
      </c>
      <c r="I28" s="887"/>
      <c r="J28" s="888"/>
      <c r="K28" s="889"/>
      <c r="L28" s="889"/>
      <c r="M28" s="889"/>
    </row>
    <row r="29" spans="1:13" s="890" customFormat="1">
      <c r="A29" s="875"/>
      <c r="B29" s="895" t="s">
        <v>1460</v>
      </c>
      <c r="C29" s="886"/>
      <c r="D29" s="894">
        <f>'main TB'!N189</f>
        <v>2032013.0000000002</v>
      </c>
      <c r="E29" s="886"/>
      <c r="F29" s="886"/>
      <c r="G29" s="886"/>
      <c r="H29" s="899">
        <f>'main TB'!L189</f>
        <v>2101697</v>
      </c>
      <c r="I29" s="887"/>
      <c r="J29" s="888"/>
      <c r="K29" s="889"/>
      <c r="L29" s="889"/>
      <c r="M29" s="889"/>
    </row>
    <row r="30" spans="1:13" s="890" customFormat="1">
      <c r="A30" s="875"/>
      <c r="B30" s="885"/>
      <c r="C30" s="886"/>
      <c r="D30" s="891"/>
      <c r="E30" s="886"/>
      <c r="F30" s="886"/>
      <c r="G30" s="886"/>
      <c r="H30" s="891"/>
      <c r="I30" s="887"/>
      <c r="J30" s="888"/>
      <c r="K30" s="889"/>
      <c r="L30" s="889"/>
      <c r="M30" s="889"/>
    </row>
    <row r="31" spans="1:13" s="890" customFormat="1">
      <c r="A31" s="875"/>
      <c r="B31" s="885" t="s">
        <v>3497</v>
      </c>
      <c r="C31" s="886"/>
      <c r="D31" s="891">
        <f>SUM(D16+D23+D26)</f>
        <v>4133810</v>
      </c>
      <c r="E31" s="891">
        <f>SUM(E16+E23+E26)</f>
        <v>0</v>
      </c>
      <c r="F31" s="891">
        <f>SUM(F16+F23+F26)</f>
        <v>0</v>
      </c>
      <c r="G31" s="891">
        <f>SUM(G16+G23+G26)</f>
        <v>0</v>
      </c>
      <c r="H31" s="891">
        <f>SUM(H16+H23+H26)</f>
        <v>2189744</v>
      </c>
      <c r="I31" s="887"/>
      <c r="J31" s="888"/>
      <c r="K31" s="889"/>
      <c r="L31" s="889"/>
      <c r="M31" s="889"/>
    </row>
    <row r="32" spans="1:13" s="890" customFormat="1">
      <c r="A32" s="875"/>
      <c r="B32" s="885"/>
      <c r="C32" s="886"/>
      <c r="D32" s="891"/>
      <c r="E32" s="886"/>
      <c r="F32" s="886"/>
      <c r="G32" s="886"/>
      <c r="H32" s="891"/>
      <c r="I32" s="887"/>
      <c r="J32" s="888"/>
      <c r="K32" s="889"/>
      <c r="L32" s="889"/>
      <c r="M32" s="889"/>
    </row>
    <row r="33" spans="1:9">
      <c r="A33" s="875"/>
      <c r="B33" s="895"/>
      <c r="C33" s="869"/>
      <c r="D33" s="870"/>
      <c r="E33" s="869"/>
      <c r="F33" s="869"/>
      <c r="G33" s="869"/>
      <c r="H33" s="870"/>
      <c r="I33" s="883"/>
    </row>
    <row r="34" spans="1:9">
      <c r="A34" s="875"/>
      <c r="B34" s="892" t="s">
        <v>3498</v>
      </c>
      <c r="C34" s="869"/>
      <c r="D34" s="900"/>
      <c r="E34" s="869"/>
      <c r="F34" s="869"/>
      <c r="G34" s="869"/>
      <c r="H34" s="900"/>
      <c r="I34" s="883"/>
    </row>
    <row r="35" spans="1:9">
      <c r="A35" s="875"/>
      <c r="B35" s="892" t="s">
        <v>3499</v>
      </c>
      <c r="C35" s="869"/>
      <c r="D35" s="870"/>
      <c r="E35" s="869"/>
      <c r="F35" s="869"/>
      <c r="G35" s="869"/>
      <c r="H35" s="870"/>
      <c r="I35" s="883"/>
    </row>
    <row r="36" spans="1:9">
      <c r="A36" s="875"/>
      <c r="B36" s="869"/>
      <c r="C36" s="869"/>
      <c r="D36" s="870"/>
      <c r="E36" s="869"/>
      <c r="F36" s="869"/>
      <c r="G36" s="869"/>
      <c r="H36" s="870"/>
      <c r="I36" s="883"/>
    </row>
    <row r="37" spans="1:9" ht="25.5">
      <c r="A37" s="875"/>
      <c r="B37" s="901" t="s">
        <v>3500</v>
      </c>
      <c r="C37" s="869"/>
      <c r="D37" s="869"/>
      <c r="E37" s="869"/>
      <c r="F37" s="869"/>
      <c r="G37" s="869"/>
      <c r="H37" s="869"/>
      <c r="I37" s="883"/>
    </row>
    <row r="38" spans="1:9" ht="25.5">
      <c r="A38" s="875"/>
      <c r="B38" s="901" t="s">
        <v>3501</v>
      </c>
      <c r="C38" s="869"/>
      <c r="D38" s="869"/>
      <c r="E38" s="869"/>
      <c r="F38" s="869"/>
      <c r="G38" s="869"/>
      <c r="H38" s="869"/>
      <c r="I38" s="883"/>
    </row>
    <row r="39" spans="1:9" ht="25.5">
      <c r="A39" s="875"/>
      <c r="B39" s="901" t="s">
        <v>3502</v>
      </c>
      <c r="C39" s="869"/>
      <c r="D39" s="869"/>
      <c r="E39" s="869"/>
      <c r="F39" s="869"/>
      <c r="G39" s="869"/>
      <c r="H39" s="869"/>
      <c r="I39" s="883"/>
    </row>
    <row r="40" spans="1:9">
      <c r="A40" s="902"/>
      <c r="B40" s="903"/>
      <c r="C40" s="903"/>
      <c r="D40" s="904"/>
      <c r="E40" s="903"/>
      <c r="F40" s="903"/>
      <c r="G40" s="903"/>
      <c r="H40" s="904"/>
      <c r="I40" s="905"/>
    </row>
    <row r="41" spans="1:9">
      <c r="A41" s="871"/>
      <c r="B41" s="872"/>
      <c r="C41" s="872"/>
      <c r="D41" s="873"/>
      <c r="E41" s="872"/>
      <c r="F41" s="872"/>
      <c r="G41" s="872"/>
      <c r="H41" s="873"/>
      <c r="I41" s="874"/>
    </row>
    <row r="42" spans="1:9">
      <c r="A42" s="875"/>
      <c r="B42" s="869"/>
      <c r="C42" s="869"/>
      <c r="D42" s="877" t="s">
        <v>2241</v>
      </c>
      <c r="E42" s="876"/>
      <c r="F42" s="876"/>
      <c r="G42" s="876"/>
      <c r="H42" s="877" t="s">
        <v>3558</v>
      </c>
      <c r="I42" s="883"/>
    </row>
    <row r="43" spans="1:9">
      <c r="A43" s="884" t="s">
        <v>995</v>
      </c>
      <c r="B43" s="885" t="s">
        <v>3435</v>
      </c>
      <c r="C43" s="869"/>
      <c r="D43" s="882" t="s">
        <v>3386</v>
      </c>
      <c r="E43" s="876"/>
      <c r="F43" s="876"/>
      <c r="G43" s="876"/>
      <c r="H43" s="882" t="s">
        <v>3386</v>
      </c>
      <c r="I43" s="883"/>
    </row>
    <row r="44" spans="1:9">
      <c r="A44" s="875"/>
      <c r="B44" s="885"/>
      <c r="C44" s="869"/>
      <c r="D44" s="870"/>
      <c r="E44" s="869"/>
      <c r="F44" s="869"/>
      <c r="G44" s="869"/>
      <c r="H44" s="870"/>
      <c r="I44" s="883"/>
    </row>
    <row r="45" spans="1:9">
      <c r="A45" s="875"/>
      <c r="B45" s="895" t="s">
        <v>3503</v>
      </c>
      <c r="C45" s="869"/>
      <c r="D45" s="893"/>
      <c r="E45" s="869"/>
      <c r="F45" s="869"/>
      <c r="G45" s="869"/>
      <c r="H45" s="893"/>
      <c r="I45" s="883"/>
    </row>
    <row r="46" spans="1:9">
      <c r="A46" s="875"/>
      <c r="B46" s="895" t="s">
        <v>3504</v>
      </c>
      <c r="C46" s="869"/>
      <c r="D46" s="715"/>
      <c r="E46" s="869"/>
      <c r="F46" s="869"/>
      <c r="G46" s="869"/>
      <c r="H46" s="715">
        <v>61538</v>
      </c>
      <c r="I46" s="883"/>
    </row>
    <row r="47" spans="1:9">
      <c r="A47" s="875"/>
      <c r="B47" s="895" t="s">
        <v>3505</v>
      </c>
      <c r="C47" s="869"/>
      <c r="D47" s="715"/>
      <c r="E47" s="869"/>
      <c r="F47" s="869"/>
      <c r="G47" s="869"/>
      <c r="H47" s="715">
        <f>778154-1.32-0.17</f>
        <v>778152.51</v>
      </c>
      <c r="I47" s="883"/>
    </row>
    <row r="48" spans="1:9">
      <c r="A48" s="875"/>
      <c r="B48" s="895" t="s">
        <v>3506</v>
      </c>
      <c r="C48" s="869"/>
      <c r="D48" s="715"/>
      <c r="E48" s="869"/>
      <c r="F48" s="869"/>
      <c r="G48" s="869"/>
      <c r="H48" s="715"/>
      <c r="I48" s="883"/>
    </row>
    <row r="49" spans="1:13">
      <c r="A49" s="875"/>
      <c r="B49" s="895" t="s">
        <v>3507</v>
      </c>
      <c r="C49" s="869"/>
      <c r="D49" s="715"/>
      <c r="E49" s="869"/>
      <c r="F49" s="869"/>
      <c r="G49" s="869"/>
      <c r="H49" s="715"/>
      <c r="I49" s="883"/>
    </row>
    <row r="50" spans="1:13">
      <c r="A50" s="875"/>
      <c r="B50" s="895" t="s">
        <v>3508</v>
      </c>
      <c r="C50" s="869"/>
      <c r="D50" s="894"/>
      <c r="E50" s="869"/>
      <c r="F50" s="869"/>
      <c r="G50" s="869"/>
      <c r="H50" s="894"/>
      <c r="I50" s="883"/>
    </row>
    <row r="51" spans="1:13">
      <c r="A51" s="875"/>
      <c r="B51" s="895"/>
      <c r="C51" s="869"/>
      <c r="D51" s="870"/>
      <c r="E51" s="869"/>
      <c r="F51" s="869"/>
      <c r="G51" s="869"/>
      <c r="H51" s="870"/>
      <c r="I51" s="883"/>
    </row>
    <row r="52" spans="1:13" s="890" customFormat="1">
      <c r="A52" s="875"/>
      <c r="B52" s="885" t="s">
        <v>3509</v>
      </c>
      <c r="C52" s="886"/>
      <c r="D52" s="891">
        <f>SUM(D45:D50)</f>
        <v>0</v>
      </c>
      <c r="E52" s="886"/>
      <c r="F52" s="886"/>
      <c r="G52" s="886"/>
      <c r="H52" s="891">
        <f>SUM(H45:H50)</f>
        <v>839690.51</v>
      </c>
      <c r="I52" s="887"/>
      <c r="J52" s="888"/>
      <c r="K52" s="889"/>
      <c r="L52" s="889"/>
      <c r="M52" s="889"/>
    </row>
    <row r="53" spans="1:13" s="890" customFormat="1">
      <c r="A53" s="875"/>
      <c r="B53" s="885"/>
      <c r="C53" s="886"/>
      <c r="D53" s="891"/>
      <c r="E53" s="886"/>
      <c r="F53" s="886"/>
      <c r="G53" s="886"/>
      <c r="H53" s="891"/>
      <c r="I53" s="887"/>
      <c r="J53" s="888"/>
      <c r="K53" s="889"/>
      <c r="L53" s="889"/>
      <c r="M53" s="889"/>
    </row>
    <row r="54" spans="1:13" ht="25.5">
      <c r="A54" s="906"/>
      <c r="B54" s="895" t="s">
        <v>3510</v>
      </c>
      <c r="C54" s="869"/>
      <c r="D54" s="870">
        <f>SUM(D55:D60)</f>
        <v>0</v>
      </c>
      <c r="E54" s="869"/>
      <c r="F54" s="869"/>
      <c r="G54" s="869"/>
      <c r="H54" s="870">
        <f>SUM(H55:H60)</f>
        <v>53846</v>
      </c>
      <c r="I54" s="883"/>
    </row>
    <row r="55" spans="1:13">
      <c r="A55" s="875"/>
      <c r="B55" s="892" t="s">
        <v>3503</v>
      </c>
      <c r="C55" s="869"/>
      <c r="D55" s="893"/>
      <c r="E55" s="869"/>
      <c r="F55" s="869"/>
      <c r="G55" s="869"/>
      <c r="H55" s="893"/>
      <c r="I55" s="883"/>
    </row>
    <row r="56" spans="1:13">
      <c r="A56" s="875"/>
      <c r="B56" s="892" t="s">
        <v>3504</v>
      </c>
      <c r="C56" s="869"/>
      <c r="D56" s="715"/>
      <c r="E56" s="869"/>
      <c r="F56" s="869"/>
      <c r="G56" s="869"/>
      <c r="H56" s="715">
        <v>53846</v>
      </c>
      <c r="I56" s="883"/>
    </row>
    <row r="57" spans="1:13">
      <c r="A57" s="875"/>
      <c r="B57" s="892" t="s">
        <v>3505</v>
      </c>
      <c r="C57" s="869"/>
      <c r="D57" s="715"/>
      <c r="E57" s="869"/>
      <c r="F57" s="869"/>
      <c r="G57" s="869"/>
      <c r="H57" s="715"/>
      <c r="I57" s="883"/>
    </row>
    <row r="58" spans="1:13">
      <c r="A58" s="875"/>
      <c r="B58" s="892" t="s">
        <v>3506</v>
      </c>
      <c r="C58" s="869"/>
      <c r="D58" s="715"/>
      <c r="E58" s="869"/>
      <c r="F58" s="869"/>
      <c r="G58" s="869"/>
      <c r="H58" s="715"/>
      <c r="I58" s="883"/>
    </row>
    <row r="59" spans="1:13">
      <c r="A59" s="875"/>
      <c r="B59" s="892" t="s">
        <v>3507</v>
      </c>
      <c r="C59" s="869"/>
      <c r="D59" s="715"/>
      <c r="E59" s="869"/>
      <c r="F59" s="869"/>
      <c r="G59" s="869"/>
      <c r="H59" s="715"/>
      <c r="I59" s="883"/>
    </row>
    <row r="60" spans="1:13">
      <c r="A60" s="875"/>
      <c r="B60" s="892" t="s">
        <v>3508</v>
      </c>
      <c r="C60" s="869"/>
      <c r="D60" s="894"/>
      <c r="E60" s="869"/>
      <c r="F60" s="869"/>
      <c r="G60" s="869"/>
      <c r="H60" s="894"/>
      <c r="I60" s="883"/>
    </row>
    <row r="61" spans="1:13">
      <c r="A61" s="875"/>
      <c r="B61" s="892"/>
      <c r="C61" s="869"/>
      <c r="D61" s="870"/>
      <c r="E61" s="869"/>
      <c r="F61" s="869"/>
      <c r="G61" s="869"/>
      <c r="H61" s="870"/>
      <c r="I61" s="883"/>
    </row>
    <row r="62" spans="1:13" s="890" customFormat="1">
      <c r="A62" s="875"/>
      <c r="B62" s="885" t="s">
        <v>3511</v>
      </c>
      <c r="C62" s="886"/>
      <c r="D62" s="891">
        <f>D52-D54</f>
        <v>0</v>
      </c>
      <c r="E62" s="886"/>
      <c r="F62" s="886"/>
      <c r="G62" s="886"/>
      <c r="H62" s="891">
        <f>H52-H54</f>
        <v>785844.51</v>
      </c>
      <c r="I62" s="887"/>
      <c r="J62" s="888"/>
      <c r="K62" s="889"/>
      <c r="L62" s="889"/>
      <c r="M62" s="889"/>
    </row>
    <row r="63" spans="1:13" s="890" customFormat="1">
      <c r="A63" s="875"/>
      <c r="B63" s="885"/>
      <c r="C63" s="886"/>
      <c r="D63" s="891"/>
      <c r="E63" s="886"/>
      <c r="F63" s="886"/>
      <c r="G63" s="886"/>
      <c r="H63" s="891"/>
      <c r="I63" s="887"/>
      <c r="J63" s="888"/>
      <c r="K63" s="889"/>
      <c r="L63" s="889"/>
      <c r="M63" s="889"/>
    </row>
    <row r="64" spans="1:13" s="890" customFormat="1">
      <c r="A64" s="875"/>
      <c r="B64" s="895"/>
      <c r="C64" s="886"/>
      <c r="D64" s="891"/>
      <c r="E64" s="886"/>
      <c r="F64" s="886"/>
      <c r="G64" s="886"/>
      <c r="H64" s="891"/>
      <c r="I64" s="887"/>
      <c r="J64" s="888"/>
      <c r="K64" s="889"/>
      <c r="L64" s="889"/>
      <c r="M64" s="889"/>
    </row>
    <row r="65" spans="1:13">
      <c r="A65" s="902"/>
      <c r="B65" s="903"/>
      <c r="C65" s="903"/>
      <c r="D65" s="904"/>
      <c r="E65" s="903"/>
      <c r="F65" s="903"/>
      <c r="G65" s="903"/>
      <c r="H65" s="904"/>
      <c r="I65" s="905"/>
    </row>
    <row r="66" spans="1:13">
      <c r="A66" s="871"/>
      <c r="B66" s="872"/>
      <c r="C66" s="872"/>
      <c r="D66" s="873"/>
      <c r="E66" s="872"/>
      <c r="F66" s="872"/>
      <c r="G66" s="872"/>
      <c r="H66" s="873"/>
      <c r="I66" s="874"/>
    </row>
    <row r="67" spans="1:13">
      <c r="A67" s="875"/>
      <c r="B67" s="869"/>
      <c r="C67" s="869"/>
      <c r="D67" s="907">
        <v>2008</v>
      </c>
      <c r="E67" s="908"/>
      <c r="F67" s="908"/>
      <c r="G67" s="908"/>
      <c r="H67" s="907">
        <v>2007</v>
      </c>
      <c r="I67" s="883"/>
    </row>
    <row r="68" spans="1:13">
      <c r="A68" s="875"/>
      <c r="B68" s="869"/>
      <c r="C68" s="869"/>
      <c r="D68" s="882" t="s">
        <v>3386</v>
      </c>
      <c r="E68" s="876"/>
      <c r="F68" s="876"/>
      <c r="G68" s="876"/>
      <c r="H68" s="882" t="s">
        <v>3386</v>
      </c>
      <c r="I68" s="883"/>
    </row>
    <row r="69" spans="1:13">
      <c r="A69" s="875"/>
      <c r="B69" s="869"/>
      <c r="C69" s="869"/>
      <c r="D69" s="870"/>
      <c r="E69" s="869"/>
      <c r="F69" s="869"/>
      <c r="G69" s="869"/>
      <c r="H69" s="870"/>
      <c r="I69" s="883"/>
    </row>
    <row r="70" spans="1:13">
      <c r="A70" s="884" t="s">
        <v>996</v>
      </c>
      <c r="B70" s="885" t="s">
        <v>3512</v>
      </c>
      <c r="C70" s="869"/>
      <c r="D70" s="870"/>
      <c r="E70" s="869"/>
      <c r="F70" s="869"/>
      <c r="G70" s="869"/>
      <c r="H70" s="870"/>
      <c r="I70" s="883"/>
    </row>
    <row r="71" spans="1:13">
      <c r="A71" s="875"/>
      <c r="B71" s="895" t="s">
        <v>3513</v>
      </c>
      <c r="C71" s="869"/>
      <c r="D71" s="893">
        <f>SUM('main TB'!U195)-1110048</f>
        <v>1113842.8500000089</v>
      </c>
      <c r="E71" s="869"/>
      <c r="F71" s="869"/>
      <c r="G71" s="869"/>
      <c r="H71" s="893">
        <f>'main TB'!M195</f>
        <v>387498.98</v>
      </c>
      <c r="I71" s="883"/>
    </row>
    <row r="72" spans="1:13">
      <c r="A72" s="875"/>
      <c r="B72" s="895" t="s">
        <v>3514</v>
      </c>
      <c r="C72" s="869"/>
      <c r="D72" s="715">
        <f>2223891-1113842.75</f>
        <v>1110048.25</v>
      </c>
      <c r="E72" s="869"/>
      <c r="F72" s="869"/>
      <c r="G72" s="869"/>
      <c r="H72" s="715"/>
      <c r="I72" s="883"/>
    </row>
    <row r="73" spans="1:13">
      <c r="A73" s="875"/>
      <c r="B73" s="895" t="s">
        <v>3515</v>
      </c>
      <c r="C73" s="869"/>
      <c r="D73" s="894"/>
      <c r="E73" s="869"/>
      <c r="F73" s="869"/>
      <c r="G73" s="869"/>
      <c r="H73" s="894"/>
      <c r="I73" s="883"/>
    </row>
    <row r="74" spans="1:13" s="890" customFormat="1">
      <c r="A74" s="875"/>
      <c r="B74" s="885" t="s">
        <v>2384</v>
      </c>
      <c r="C74" s="886"/>
      <c r="D74" s="891">
        <f>SUM(D71:D73)</f>
        <v>2223891.1000000089</v>
      </c>
      <c r="E74" s="886"/>
      <c r="F74" s="886"/>
      <c r="G74" s="886"/>
      <c r="H74" s="891">
        <f>SUM(H71:H73)</f>
        <v>387498.98</v>
      </c>
      <c r="I74" s="887"/>
      <c r="J74" s="888"/>
      <c r="K74" s="889"/>
      <c r="L74" s="889"/>
      <c r="M74" s="889"/>
    </row>
    <row r="75" spans="1:13">
      <c r="A75" s="875"/>
      <c r="B75" s="895"/>
      <c r="C75" s="869"/>
      <c r="D75" s="870"/>
      <c r="E75" s="869"/>
      <c r="F75" s="869"/>
      <c r="G75" s="869"/>
      <c r="H75" s="870"/>
      <c r="I75" s="883"/>
    </row>
    <row r="76" spans="1:13">
      <c r="A76" s="875"/>
      <c r="B76" s="895" t="s">
        <v>3516</v>
      </c>
      <c r="C76" s="869"/>
      <c r="D76" s="870"/>
      <c r="E76" s="869"/>
      <c r="F76" s="869"/>
      <c r="G76" s="869"/>
      <c r="H76" s="870"/>
      <c r="I76" s="883"/>
    </row>
    <row r="77" spans="1:13">
      <c r="A77" s="875"/>
      <c r="B77" s="869"/>
      <c r="C77" s="869"/>
      <c r="D77" s="870"/>
      <c r="E77" s="869"/>
      <c r="F77" s="869"/>
      <c r="G77" s="869"/>
      <c r="H77" s="870"/>
      <c r="I77" s="883"/>
    </row>
    <row r="78" spans="1:13" s="914" customFormat="1" ht="14.25">
      <c r="A78" s="909"/>
      <c r="B78" s="901"/>
      <c r="C78" s="910"/>
      <c r="D78" s="910"/>
      <c r="E78" s="910"/>
      <c r="F78" s="910"/>
      <c r="G78" s="910"/>
      <c r="H78" s="910"/>
      <c r="I78" s="911"/>
      <c r="J78" s="912"/>
      <c r="K78" s="913"/>
      <c r="L78" s="913"/>
      <c r="M78" s="913"/>
    </row>
    <row r="79" spans="1:13" s="914" customFormat="1" ht="14.25">
      <c r="A79" s="909"/>
      <c r="B79" s="1222"/>
      <c r="C79" s="910"/>
      <c r="D79" s="910"/>
      <c r="E79" s="910"/>
      <c r="F79" s="910"/>
      <c r="G79" s="910"/>
      <c r="H79" s="910"/>
      <c r="I79" s="911"/>
      <c r="J79" s="912"/>
      <c r="K79" s="913"/>
      <c r="L79" s="913"/>
      <c r="M79" s="913"/>
    </row>
    <row r="80" spans="1:13" s="914" customFormat="1" ht="14.25">
      <c r="A80" s="909"/>
      <c r="B80" s="901"/>
      <c r="C80" s="910"/>
      <c r="D80" s="910"/>
      <c r="E80" s="910"/>
      <c r="F80" s="910"/>
      <c r="G80" s="910"/>
      <c r="H80" s="910"/>
      <c r="I80" s="911"/>
      <c r="J80" s="912"/>
      <c r="K80" s="913"/>
      <c r="L80" s="913"/>
      <c r="M80" s="913"/>
    </row>
    <row r="81" spans="1:9">
      <c r="A81" s="902"/>
      <c r="B81" s="903"/>
      <c r="C81" s="903"/>
      <c r="D81" s="904"/>
      <c r="E81" s="903"/>
      <c r="F81" s="903"/>
      <c r="G81" s="903"/>
      <c r="H81" s="904"/>
      <c r="I81" s="905"/>
    </row>
  </sheetData>
  <mergeCells count="2">
    <mergeCell ref="A1:I1"/>
    <mergeCell ref="A2:I2"/>
  </mergeCells>
  <phoneticPr fontId="0" type="noConversion"/>
  <printOptions horizontalCentered="1"/>
  <pageMargins left="0.6692913385826772" right="0.39370078740157483" top="0.98425196850393704" bottom="0.98425196850393704" header="0.51181102362204722" footer="0.51181102362204722"/>
  <pageSetup scale="68" orientation="portrait" r:id="rId1"/>
  <headerFooter>
    <oddHeader>&amp;C FINANCIAL STATEMENTS: MUSINA LOCAL MUNICIPALITY</oddHeader>
    <oddFooter>&amp;RPage &amp;P</oddFooter>
  </headerFooter>
  <rowBreaks count="1" manualBreakCount="1">
    <brk id="40" max="8" man="1"/>
  </rowBreaks>
  <legacyDrawing r:id="rId2"/>
</worksheet>
</file>

<file path=xl/worksheets/sheet13.xml><?xml version="1.0" encoding="utf-8"?>
<worksheet xmlns="http://schemas.openxmlformats.org/spreadsheetml/2006/main" xmlns:r="http://schemas.openxmlformats.org/officeDocument/2006/relationships">
  <dimension ref="A1:K163"/>
  <sheetViews>
    <sheetView view="pageBreakPreview" topLeftCell="A52" zoomScaleSheetLayoutView="100" workbookViewId="0">
      <selection activeCell="A14" sqref="A14"/>
    </sheetView>
  </sheetViews>
  <sheetFormatPr defaultRowHeight="12.75"/>
  <cols>
    <col min="1" max="1" width="9.140625" style="881" customWidth="1"/>
    <col min="2" max="2" width="38.7109375" style="867" customWidth="1"/>
    <col min="3" max="3" width="19.42578125" style="918" bestFit="1" customWidth="1"/>
    <col min="4" max="4" width="19" style="918" bestFit="1" customWidth="1"/>
    <col min="5" max="5" width="18.42578125" style="918" bestFit="1" customWidth="1"/>
    <col min="6" max="6" width="2.85546875" style="917" customWidth="1"/>
    <col min="7" max="7" width="14.5703125" style="916" customWidth="1"/>
    <col min="8" max="8" width="18" style="916" bestFit="1" customWidth="1"/>
    <col min="9" max="9" width="13.5703125" style="916" bestFit="1" customWidth="1"/>
    <col min="10" max="10" width="12.85546875" style="916" bestFit="1" customWidth="1"/>
    <col min="11" max="11" width="9.140625" style="916" customWidth="1"/>
    <col min="12" max="16384" width="9.140625" style="917"/>
  </cols>
  <sheetData>
    <row r="1" spans="1:11">
      <c r="A1" s="1148"/>
      <c r="B1" s="1149"/>
      <c r="C1" s="1149"/>
      <c r="D1" s="1149"/>
      <c r="E1" s="1150"/>
      <c r="F1" s="1150"/>
    </row>
    <row r="2" spans="1:11">
      <c r="A2" s="1346" t="s">
        <v>3477</v>
      </c>
      <c r="B2" s="1346"/>
      <c r="C2" s="1346"/>
      <c r="D2" s="1346"/>
      <c r="E2" s="1346"/>
      <c r="F2" s="1346"/>
    </row>
    <row r="3" spans="1:11">
      <c r="A3" s="1347" t="s">
        <v>3100</v>
      </c>
      <c r="B3" s="1347"/>
      <c r="C3" s="1347"/>
      <c r="D3" s="1347"/>
      <c r="E3" s="1347"/>
      <c r="F3" s="1347"/>
    </row>
    <row r="4" spans="1:11">
      <c r="A4" s="1151"/>
      <c r="B4" s="1152"/>
      <c r="C4" s="1149"/>
      <c r="D4" s="1149"/>
      <c r="E4" s="1149"/>
      <c r="F4" s="1153"/>
      <c r="H4" s="916">
        <f>C16</f>
        <v>-185243.1</v>
      </c>
    </row>
    <row r="5" spans="1:11" s="810" customFormat="1">
      <c r="A5" s="1154" t="s">
        <v>997</v>
      </c>
      <c r="B5" s="1155" t="s">
        <v>3517</v>
      </c>
      <c r="C5" s="1156"/>
      <c r="D5" s="1156"/>
      <c r="E5" s="1156"/>
      <c r="F5" s="1157"/>
      <c r="G5" s="809"/>
      <c r="H5" s="809">
        <f>-H7</f>
        <v>7462286.5499999998</v>
      </c>
      <c r="I5" s="809">
        <f>H4+H5</f>
        <v>7277043.4500000002</v>
      </c>
      <c r="J5" s="809"/>
      <c r="K5" s="809"/>
    </row>
    <row r="6" spans="1:11" s="810" customFormat="1" ht="25.5">
      <c r="A6" s="1158"/>
      <c r="B6" s="1159"/>
      <c r="C6" s="1160" t="s">
        <v>3518</v>
      </c>
      <c r="D6" s="1160" t="s">
        <v>3519</v>
      </c>
      <c r="E6" s="1160" t="s">
        <v>3520</v>
      </c>
      <c r="F6" s="1161"/>
      <c r="G6" s="809"/>
      <c r="H6" s="809"/>
      <c r="I6" s="809"/>
      <c r="J6" s="809"/>
      <c r="K6" s="809"/>
    </row>
    <row r="7" spans="1:11">
      <c r="A7" s="1158"/>
      <c r="B7" s="1159"/>
      <c r="C7" s="1162" t="s">
        <v>3386</v>
      </c>
      <c r="D7" s="1162" t="s">
        <v>3386</v>
      </c>
      <c r="E7" s="1162" t="s">
        <v>3386</v>
      </c>
      <c r="F7" s="1161"/>
      <c r="H7" s="916">
        <f>H8+I10</f>
        <v>-7462286.5499999998</v>
      </c>
    </row>
    <row r="8" spans="1:11">
      <c r="A8" s="1163"/>
      <c r="B8" s="1164"/>
      <c r="C8" s="1149"/>
      <c r="D8" s="1149"/>
      <c r="E8" s="1149"/>
      <c r="F8" s="1165"/>
      <c r="H8" s="916">
        <f>C17-H9</f>
        <v>-12662745.239999998</v>
      </c>
    </row>
    <row r="9" spans="1:11">
      <c r="A9" s="1163"/>
      <c r="B9" s="1166" t="s">
        <v>3076</v>
      </c>
      <c r="C9" s="1149"/>
      <c r="D9" s="1149"/>
      <c r="E9" s="1149"/>
      <c r="F9" s="1165"/>
      <c r="H9" s="919">
        <f>SUM('main TB'!U201)</f>
        <v>12662745.239999998</v>
      </c>
      <c r="I9" s="916">
        <f>SUM('main TB'!U29)</f>
        <v>-5651075.1700000009</v>
      </c>
      <c r="J9" s="916">
        <f>SUM(H9:I9)</f>
        <v>7011670.0699999975</v>
      </c>
    </row>
    <row r="10" spans="1:11">
      <c r="A10" s="1163"/>
      <c r="B10" s="1167" t="s">
        <v>3521</v>
      </c>
      <c r="C10" s="1168">
        <f>SUM(C11:C14)</f>
        <v>12906878.73</v>
      </c>
      <c r="D10" s="1168">
        <f>SUM(D11:D14)</f>
        <v>5651075.1699999999</v>
      </c>
      <c r="E10" s="1168">
        <f>SUM(E11:E14)</f>
        <v>7255803.5600000005</v>
      </c>
      <c r="F10" s="1165"/>
      <c r="G10" s="916">
        <f>C10-C54</f>
        <v>12654054.200000001</v>
      </c>
      <c r="H10" s="916">
        <v>7462286.5499999998</v>
      </c>
      <c r="I10" s="916">
        <f>H9-H10</f>
        <v>5200458.6899999985</v>
      </c>
    </row>
    <row r="11" spans="1:11">
      <c r="A11" s="1163"/>
      <c r="B11" s="1169" t="s">
        <v>1607</v>
      </c>
      <c r="C11" s="1170">
        <v>3363756.36</v>
      </c>
      <c r="D11" s="1170">
        <v>1296026.4099999999</v>
      </c>
      <c r="E11" s="1170">
        <f>+C11-D11</f>
        <v>2067729.95</v>
      </c>
      <c r="F11" s="1165"/>
      <c r="G11" s="916">
        <f>C11-C63</f>
        <v>3027765.17</v>
      </c>
      <c r="H11" s="916">
        <f>+E9-H9</f>
        <v>-12662745.239999998</v>
      </c>
    </row>
    <row r="12" spans="1:11">
      <c r="A12" s="1163"/>
      <c r="B12" s="1169" t="s">
        <v>1609</v>
      </c>
      <c r="C12" s="1171">
        <v>1080370.05</v>
      </c>
      <c r="D12" s="1171">
        <v>241267.23</v>
      </c>
      <c r="E12" s="1171">
        <f>+C12-D12</f>
        <v>839102.82000000007</v>
      </c>
      <c r="F12" s="1165"/>
      <c r="I12" s="916">
        <f>+H9-E17</f>
        <v>12662745.239999998</v>
      </c>
    </row>
    <row r="13" spans="1:11">
      <c r="A13" s="1163"/>
      <c r="B13" s="1169" t="s">
        <v>3524</v>
      </c>
      <c r="C13" s="1171">
        <v>4268957.41</v>
      </c>
      <c r="D13" s="1171">
        <v>1881259.96</v>
      </c>
      <c r="E13" s="1171">
        <f>+C13-D13</f>
        <v>2387697.4500000002</v>
      </c>
      <c r="F13" s="1165"/>
      <c r="G13" s="916">
        <f>H13*2</f>
        <v>67621.78</v>
      </c>
      <c r="H13" s="916">
        <v>33810.89</v>
      </c>
    </row>
    <row r="14" spans="1:11">
      <c r="A14" s="1163"/>
      <c r="B14" s="1169" t="s">
        <v>713</v>
      </c>
      <c r="C14" s="1172">
        <f>4193794.91</f>
        <v>4193794.91</v>
      </c>
      <c r="D14" s="1172">
        <v>2232521.5699999998</v>
      </c>
      <c r="E14" s="1172">
        <f>+C14-D14</f>
        <v>1961273.3400000003</v>
      </c>
      <c r="F14" s="1165"/>
      <c r="G14" s="916">
        <f>G16-C16</f>
        <v>185243.1</v>
      </c>
      <c r="H14" s="916" t="e">
        <f>H13+#REF!</f>
        <v>#REF!</v>
      </c>
    </row>
    <row r="15" spans="1:11">
      <c r="A15" s="1163"/>
      <c r="B15" s="1167" t="s">
        <v>1461</v>
      </c>
      <c r="C15" s="1149">
        <f>-58891.69+1.28</f>
        <v>-58890.41</v>
      </c>
      <c r="D15" s="1149">
        <v>0</v>
      </c>
      <c r="E15" s="1149">
        <f>SUM(C15-D15)</f>
        <v>-58890.41</v>
      </c>
      <c r="F15" s="1165"/>
    </row>
    <row r="16" spans="1:11">
      <c r="A16" s="1163"/>
      <c r="B16" s="1167" t="s">
        <v>1466</v>
      </c>
      <c r="C16" s="1149">
        <v>-185243.1</v>
      </c>
      <c r="D16" s="1149">
        <v>0</v>
      </c>
      <c r="E16" s="1149">
        <f>SUM(C16-D16)</f>
        <v>-185243.1</v>
      </c>
      <c r="F16" s="1165"/>
      <c r="G16" s="916">
        <f>E17-G17</f>
        <v>0</v>
      </c>
    </row>
    <row r="17" spans="1:11" s="920" customFormat="1">
      <c r="A17" s="1163"/>
      <c r="B17" s="1167" t="s">
        <v>713</v>
      </c>
      <c r="C17" s="1149">
        <v>0</v>
      </c>
      <c r="D17" s="1149">
        <v>0</v>
      </c>
      <c r="E17" s="1149">
        <f>SUM(C17-D17)</f>
        <v>0</v>
      </c>
      <c r="F17" s="1165"/>
      <c r="G17" s="919">
        <f>C59+C68</f>
        <v>0</v>
      </c>
      <c r="H17" s="919" t="e">
        <f>SUM(H9:H16)</f>
        <v>#REF!</v>
      </c>
      <c r="I17" s="919">
        <f>SUM(I9:I16)</f>
        <v>12212128.759999996</v>
      </c>
      <c r="J17" s="919">
        <f>SUM(J9:J16)</f>
        <v>7011670.0699999975</v>
      </c>
      <c r="K17" s="919"/>
    </row>
    <row r="18" spans="1:11" ht="13.5" thickBot="1">
      <c r="A18" s="1163"/>
      <c r="B18" s="1164" t="s">
        <v>2384</v>
      </c>
      <c r="C18" s="1173">
        <f>SUM(C10+C15+C16+C17)</f>
        <v>12662745.220000001</v>
      </c>
      <c r="D18" s="1173">
        <f>SUM(D10+D15+D16+D17)</f>
        <v>5651075.1699999999</v>
      </c>
      <c r="E18" s="1173">
        <f>SUM(E10+E15+E16+E17)</f>
        <v>7011670.0500000007</v>
      </c>
      <c r="F18" s="1174"/>
      <c r="G18" s="916">
        <f>G17-C17</f>
        <v>0</v>
      </c>
      <c r="H18" s="916" t="s">
        <v>1563</v>
      </c>
    </row>
    <row r="19" spans="1:11" ht="13.5" thickTop="1">
      <c r="A19" s="1163"/>
      <c r="B19" s="1175"/>
      <c r="C19" s="1149"/>
      <c r="D19" s="1149"/>
      <c r="E19" s="1149"/>
      <c r="F19" s="1165"/>
      <c r="H19" s="916">
        <f>C87-C17</f>
        <v>166830.09</v>
      </c>
    </row>
    <row r="20" spans="1:11">
      <c r="A20" s="1163"/>
      <c r="B20" s="1164" t="s">
        <v>3525</v>
      </c>
      <c r="C20" s="1149"/>
      <c r="D20" s="1149"/>
      <c r="E20" s="1149"/>
      <c r="F20" s="1165"/>
      <c r="G20" s="916" t="s">
        <v>1565</v>
      </c>
      <c r="H20" s="916">
        <v>1234470.78</v>
      </c>
    </row>
    <row r="21" spans="1:11">
      <c r="A21" s="1163"/>
      <c r="B21" s="1164" t="s">
        <v>3526</v>
      </c>
      <c r="C21" s="1149"/>
      <c r="D21" s="1149"/>
      <c r="E21" s="1149">
        <f>SUM(E22:E27)</f>
        <v>351104</v>
      </c>
      <c r="F21" s="1165"/>
      <c r="G21" s="916" t="s">
        <v>1566</v>
      </c>
    </row>
    <row r="22" spans="1:11">
      <c r="A22" s="1163"/>
      <c r="B22" s="1169" t="s">
        <v>1607</v>
      </c>
      <c r="C22" s="1149"/>
      <c r="D22" s="1149"/>
      <c r="E22" s="1170">
        <v>42405</v>
      </c>
      <c r="F22" s="1165"/>
      <c r="H22" s="916">
        <v>1248924</v>
      </c>
      <c r="J22" s="916">
        <f>318925.52</f>
        <v>318925.52</v>
      </c>
    </row>
    <row r="23" spans="1:11">
      <c r="A23" s="1163"/>
      <c r="B23" s="1169" t="s">
        <v>1609</v>
      </c>
      <c r="C23" s="1149"/>
      <c r="D23" s="1149"/>
      <c r="E23" s="1171">
        <v>3142</v>
      </c>
      <c r="F23" s="1165"/>
      <c r="H23" s="916">
        <f>H22-H20</f>
        <v>14453.219999999972</v>
      </c>
      <c r="J23" s="916">
        <f>E20-J22</f>
        <v>-318925.52</v>
      </c>
    </row>
    <row r="24" spans="1:11">
      <c r="A24" s="1163"/>
      <c r="B24" s="1169" t="s">
        <v>3522</v>
      </c>
      <c r="C24" s="1149"/>
      <c r="D24" s="1149"/>
      <c r="E24" s="1171">
        <v>101738</v>
      </c>
      <c r="F24" s="1165"/>
      <c r="H24" s="916">
        <f>H9-C17</f>
        <v>12662745.239999998</v>
      </c>
    </row>
    <row r="25" spans="1:11">
      <c r="A25" s="1163"/>
      <c r="B25" s="1169" t="s">
        <v>3523</v>
      </c>
      <c r="C25" s="1149"/>
      <c r="D25" s="1149"/>
      <c r="E25" s="1171">
        <v>40968</v>
      </c>
      <c r="F25" s="1165"/>
    </row>
    <row r="26" spans="1:11">
      <c r="A26" s="1163"/>
      <c r="B26" s="1169" t="s">
        <v>3524</v>
      </c>
      <c r="C26" s="1149"/>
      <c r="D26" s="1149"/>
      <c r="E26" s="1171">
        <v>53454</v>
      </c>
      <c r="F26" s="1165"/>
    </row>
    <row r="27" spans="1:11">
      <c r="A27" s="1163"/>
      <c r="B27" s="1169" t="s">
        <v>713</v>
      </c>
      <c r="C27" s="1149"/>
      <c r="D27" s="1149"/>
      <c r="E27" s="1172">
        <v>109397</v>
      </c>
      <c r="F27" s="1165"/>
    </row>
    <row r="28" spans="1:11">
      <c r="A28" s="1163"/>
      <c r="B28" s="1176"/>
      <c r="C28" s="1149"/>
      <c r="D28" s="1149"/>
      <c r="E28" s="1149"/>
      <c r="F28" s="1165"/>
    </row>
    <row r="29" spans="1:11">
      <c r="A29" s="1163"/>
      <c r="B29" s="1176"/>
      <c r="C29" s="1149"/>
      <c r="D29" s="1149"/>
      <c r="E29" s="1149"/>
      <c r="F29" s="1165"/>
    </row>
    <row r="30" spans="1:11">
      <c r="A30" s="1163"/>
      <c r="B30" s="1166" t="s">
        <v>1604</v>
      </c>
      <c r="C30" s="1149"/>
      <c r="D30" s="1149"/>
      <c r="E30" s="1149"/>
      <c r="F30" s="1165"/>
    </row>
    <row r="31" spans="1:11">
      <c r="A31" s="1163"/>
      <c r="B31" s="1167" t="s">
        <v>3521</v>
      </c>
      <c r="C31" s="1168">
        <f>SUM(C32:C36)</f>
        <v>9988101.1999999993</v>
      </c>
      <c r="D31" s="1168">
        <f>SUM(D32:D36)</f>
        <v>5887481</v>
      </c>
      <c r="E31" s="1168">
        <f>SUM(E32:E36)</f>
        <v>4100620.2</v>
      </c>
      <c r="F31" s="1165"/>
      <c r="H31" s="916">
        <f>C31/($C$38-$C$37)</f>
        <v>11.018307922314788</v>
      </c>
      <c r="I31" s="916">
        <f>$I$39*H31</f>
        <v>64870078.544777788</v>
      </c>
    </row>
    <row r="32" spans="1:11">
      <c r="A32" s="1163"/>
      <c r="B32" s="1169" t="s">
        <v>1607</v>
      </c>
      <c r="C32" s="1170">
        <v>4189969.63</v>
      </c>
      <c r="D32" s="1170">
        <v>1951539.26</v>
      </c>
      <c r="E32" s="1170">
        <f t="shared" ref="E32:E38" si="0">+C32-D32</f>
        <v>2238430.37</v>
      </c>
      <c r="F32" s="1165"/>
      <c r="H32" s="916">
        <f>C32/($C$38-$C$37)</f>
        <v>4.6221373456335586</v>
      </c>
      <c r="I32" s="916">
        <f t="shared" ref="I32:I37" si="1">$I$39*H32</f>
        <v>27212745.801808011</v>
      </c>
    </row>
    <row r="33" spans="1:9">
      <c r="A33" s="1163"/>
      <c r="B33" s="1169" t="s">
        <v>1609</v>
      </c>
      <c r="C33" s="1171">
        <v>1492969.73</v>
      </c>
      <c r="D33" s="1171">
        <v>695372.35</v>
      </c>
      <c r="E33" s="1171">
        <f t="shared" si="0"/>
        <v>797597.38</v>
      </c>
      <c r="F33" s="1165"/>
      <c r="H33" s="916">
        <f>C33/($C$38-$C$37)</f>
        <v>1.646959704797061</v>
      </c>
      <c r="I33" s="916">
        <f t="shared" si="1"/>
        <v>9696443.9697583057</v>
      </c>
    </row>
    <row r="34" spans="1:9">
      <c r="A34" s="1163"/>
      <c r="B34" s="1169" t="s">
        <v>3522</v>
      </c>
      <c r="C34" s="1171">
        <v>-1236273.7</v>
      </c>
      <c r="D34" s="1171"/>
      <c r="E34" s="1171">
        <f t="shared" si="0"/>
        <v>-1236273.7</v>
      </c>
      <c r="F34" s="1165"/>
      <c r="H34" s="916">
        <f>C34/($C$38-$C$37)</f>
        <v>-1.3637871733677884</v>
      </c>
      <c r="I34" s="916">
        <f t="shared" si="1"/>
        <v>-8029271.0712465607</v>
      </c>
    </row>
    <row r="35" spans="1:9">
      <c r="A35" s="1163"/>
      <c r="B35" s="1169" t="s">
        <v>3523</v>
      </c>
      <c r="C35" s="1171">
        <v>0</v>
      </c>
      <c r="D35" s="1171"/>
      <c r="E35" s="1171">
        <f t="shared" si="0"/>
        <v>0</v>
      </c>
      <c r="F35" s="1165"/>
      <c r="H35" s="916">
        <f>C35/($C$38-$C$37)</f>
        <v>0</v>
      </c>
      <c r="I35" s="916">
        <f t="shared" si="1"/>
        <v>0</v>
      </c>
    </row>
    <row r="36" spans="1:9">
      <c r="A36" s="1163"/>
      <c r="B36" s="1169" t="s">
        <v>3524</v>
      </c>
      <c r="C36" s="1172">
        <f>5726678.64-185243.1</f>
        <v>5541435.54</v>
      </c>
      <c r="D36" s="1172">
        <v>3240569.39</v>
      </c>
      <c r="E36" s="1172">
        <f t="shared" si="0"/>
        <v>2300866.15</v>
      </c>
      <c r="F36" s="1165"/>
      <c r="G36" s="916">
        <f>SUM(C38-D38)</f>
        <v>0</v>
      </c>
      <c r="H36" s="916" t="e">
        <f>C36/$C$38</f>
        <v>#DIV/0!</v>
      </c>
      <c r="I36" s="916" t="e">
        <f t="shared" si="1"/>
        <v>#DIV/0!</v>
      </c>
    </row>
    <row r="37" spans="1:9">
      <c r="A37" s="1163"/>
      <c r="B37" s="1167" t="s">
        <v>1461</v>
      </c>
      <c r="C37" s="1149">
        <v>-906500.46</v>
      </c>
      <c r="D37" s="1149">
        <v>0</v>
      </c>
      <c r="E37" s="1149">
        <f t="shared" si="0"/>
        <v>-906500.46</v>
      </c>
      <c r="F37" s="1165"/>
      <c r="I37" s="916">
        <f t="shared" si="1"/>
        <v>0</v>
      </c>
    </row>
    <row r="38" spans="1:9">
      <c r="A38" s="1163"/>
      <c r="B38" s="1167" t="s">
        <v>1564</v>
      </c>
      <c r="C38" s="1149">
        <v>0</v>
      </c>
      <c r="D38" s="1149"/>
      <c r="E38" s="1149">
        <f t="shared" si="0"/>
        <v>0</v>
      </c>
      <c r="F38" s="1165"/>
      <c r="G38" s="916">
        <f>'main TB'!M201</f>
        <v>9081600.7400000002</v>
      </c>
      <c r="I38" s="916" t="e">
        <f>SUM(I31:I37)</f>
        <v>#DIV/0!</v>
      </c>
    </row>
    <row r="39" spans="1:9" ht="13.5" thickBot="1">
      <c r="A39" s="1163"/>
      <c r="B39" s="1164" t="s">
        <v>2384</v>
      </c>
      <c r="C39" s="1173">
        <f>C38+C37+C31</f>
        <v>9081600.7399999984</v>
      </c>
      <c r="D39" s="1173">
        <f>D38+D37+D31</f>
        <v>5887481</v>
      </c>
      <c r="E39" s="1173">
        <f>E38+E37+E31</f>
        <v>3194119.74</v>
      </c>
      <c r="F39" s="1165"/>
      <c r="I39" s="916">
        <v>5887481</v>
      </c>
    </row>
    <row r="40" spans="1:9" ht="13.5" thickTop="1">
      <c r="A40" s="1163"/>
      <c r="B40" s="1175"/>
      <c r="C40" s="1149"/>
      <c r="D40" s="1149"/>
      <c r="E40" s="1149"/>
      <c r="F40" s="1165"/>
    </row>
    <row r="41" spans="1:9">
      <c r="A41" s="1163"/>
      <c r="B41" s="1164" t="s">
        <v>3525</v>
      </c>
      <c r="C41" s="1149"/>
      <c r="D41" s="1149"/>
      <c r="E41" s="1149"/>
      <c r="F41" s="1165"/>
    </row>
    <row r="42" spans="1:9">
      <c r="A42" s="1163"/>
      <c r="B42" s="1164" t="s">
        <v>3526</v>
      </c>
      <c r="C42" s="1149"/>
      <c r="D42" s="1149"/>
      <c r="E42" s="1149">
        <f>SUM(E43:E48)</f>
        <v>604079.35000000009</v>
      </c>
      <c r="F42" s="1165"/>
    </row>
    <row r="43" spans="1:9">
      <c r="A43" s="1163"/>
      <c r="B43" s="1169" t="s">
        <v>1607</v>
      </c>
      <c r="C43" s="1149"/>
      <c r="D43" s="1149"/>
      <c r="E43" s="1170">
        <v>713.51</v>
      </c>
      <c r="F43" s="1165"/>
    </row>
    <row r="44" spans="1:9">
      <c r="A44" s="1163"/>
      <c r="B44" s="1169" t="s">
        <v>1609</v>
      </c>
      <c r="C44" s="1149"/>
      <c r="D44" s="1149"/>
      <c r="E44" s="1171">
        <v>133313.54</v>
      </c>
      <c r="F44" s="1165"/>
    </row>
    <row r="45" spans="1:9">
      <c r="A45" s="1163"/>
      <c r="B45" s="1169" t="s">
        <v>3522</v>
      </c>
      <c r="C45" s="1149"/>
      <c r="D45" s="1149"/>
      <c r="E45" s="1171">
        <v>127148.49</v>
      </c>
      <c r="F45" s="1165"/>
    </row>
    <row r="46" spans="1:9">
      <c r="A46" s="1163"/>
      <c r="B46" s="1169" t="s">
        <v>3523</v>
      </c>
      <c r="C46" s="1149"/>
      <c r="D46" s="1149"/>
      <c r="E46" s="1171">
        <v>171192.42</v>
      </c>
      <c r="F46" s="1165"/>
    </row>
    <row r="47" spans="1:9">
      <c r="A47" s="1163"/>
      <c r="B47" s="1169" t="s">
        <v>3524</v>
      </c>
      <c r="C47" s="1149"/>
      <c r="D47" s="1149"/>
      <c r="E47" s="1171">
        <v>171711.39</v>
      </c>
      <c r="F47" s="1165"/>
    </row>
    <row r="48" spans="1:9">
      <c r="A48" s="1163"/>
      <c r="B48" s="1169" t="s">
        <v>713</v>
      </c>
      <c r="C48" s="1149"/>
      <c r="D48" s="1149"/>
      <c r="E48" s="1172"/>
      <c r="F48" s="1165"/>
    </row>
    <row r="49" spans="1:11">
      <c r="A49" s="1177"/>
      <c r="B49" s="1178"/>
      <c r="C49" s="1179"/>
      <c r="D49" s="1179"/>
      <c r="E49" s="1179"/>
      <c r="F49" s="1180"/>
    </row>
    <row r="50" spans="1:11">
      <c r="A50" s="1181"/>
      <c r="B50" s="1182"/>
      <c r="C50" s="1156"/>
      <c r="D50" s="1156"/>
      <c r="E50" s="1156"/>
      <c r="F50" s="1157"/>
    </row>
    <row r="51" spans="1:11">
      <c r="A51" s="1163"/>
      <c r="B51" s="1176"/>
      <c r="C51" s="1183" t="s">
        <v>2241</v>
      </c>
      <c r="D51" s="1184"/>
      <c r="E51" s="1183" t="s">
        <v>3558</v>
      </c>
      <c r="F51" s="1165"/>
    </row>
    <row r="52" spans="1:11">
      <c r="A52" s="1163"/>
      <c r="B52" s="1164"/>
      <c r="C52" s="1184" t="s">
        <v>3386</v>
      </c>
      <c r="D52" s="1184"/>
      <c r="E52" s="1184" t="s">
        <v>3386</v>
      </c>
      <c r="F52" s="1165"/>
    </row>
    <row r="53" spans="1:11">
      <c r="A53" s="1163"/>
      <c r="B53" s="1167" t="s">
        <v>1121</v>
      </c>
      <c r="C53" s="1149"/>
      <c r="D53" s="1149"/>
      <c r="E53" s="1149"/>
      <c r="F53" s="1165"/>
    </row>
    <row r="54" spans="1:11">
      <c r="A54" s="1163"/>
      <c r="B54" s="1169" t="s">
        <v>1122</v>
      </c>
      <c r="C54" s="1170">
        <v>252824.53</v>
      </c>
      <c r="D54" s="1149"/>
      <c r="E54" s="1170">
        <v>0</v>
      </c>
      <c r="F54" s="1165"/>
    </row>
    <row r="55" spans="1:11">
      <c r="A55" s="1163"/>
      <c r="B55" s="1169" t="s">
        <v>1123</v>
      </c>
      <c r="C55" s="1171">
        <v>181750.43</v>
      </c>
      <c r="D55" s="1149"/>
      <c r="E55" s="1171">
        <v>139215.95000000001</v>
      </c>
      <c r="F55" s="1165"/>
    </row>
    <row r="56" spans="1:11">
      <c r="A56" s="1163"/>
      <c r="B56" s="1169" t="s">
        <v>1124</v>
      </c>
      <c r="C56" s="1171">
        <v>160377.79999999999</v>
      </c>
      <c r="D56" s="1149"/>
      <c r="E56" s="1171">
        <v>115126.88</v>
      </c>
      <c r="F56" s="1165"/>
    </row>
    <row r="57" spans="1:11">
      <c r="A57" s="1163"/>
      <c r="B57" s="1169" t="s">
        <v>1125</v>
      </c>
      <c r="C57" s="1171">
        <v>176750.78</v>
      </c>
      <c r="D57" s="1149"/>
      <c r="E57" s="1171">
        <v>106501.2</v>
      </c>
      <c r="F57" s="1165"/>
    </row>
    <row r="58" spans="1:11">
      <c r="A58" s="1163"/>
      <c r="B58" s="1169" t="s">
        <v>1477</v>
      </c>
      <c r="C58" s="1171">
        <v>2592052.8199999998</v>
      </c>
      <c r="D58" s="1149"/>
      <c r="E58" s="1171">
        <v>105268.95</v>
      </c>
      <c r="F58" s="1165"/>
    </row>
    <row r="59" spans="1:11" s="920" customFormat="1">
      <c r="A59" s="1163"/>
      <c r="B59" s="1169" t="s">
        <v>1478</v>
      </c>
      <c r="C59" s="1172">
        <v>0</v>
      </c>
      <c r="D59" s="1149"/>
      <c r="E59" s="1172">
        <v>1772317.39</v>
      </c>
      <c r="F59" s="1165"/>
      <c r="G59" s="919">
        <f>SUM(C10)</f>
        <v>12906878.73</v>
      </c>
      <c r="H59" s="919"/>
      <c r="I59" s="919"/>
      <c r="J59" s="919"/>
      <c r="K59" s="919"/>
    </row>
    <row r="60" spans="1:11">
      <c r="A60" s="1163"/>
      <c r="B60" s="1164" t="s">
        <v>3509</v>
      </c>
      <c r="C60" s="1168">
        <f>SUM(C54:C59)</f>
        <v>3363756.36</v>
      </c>
      <c r="D60" s="1168"/>
      <c r="E60" s="1168">
        <f>SUM(E54:E59)</f>
        <v>2238430.37</v>
      </c>
      <c r="F60" s="1174"/>
      <c r="G60" s="916">
        <f>G59-C59</f>
        <v>12906878.73</v>
      </c>
    </row>
    <row r="61" spans="1:11">
      <c r="A61" s="1163"/>
      <c r="B61" s="1176"/>
      <c r="C61" s="1149"/>
      <c r="D61" s="1149"/>
      <c r="E61" s="1149"/>
      <c r="F61" s="1165"/>
    </row>
    <row r="62" spans="1:11">
      <c r="A62" s="1163"/>
      <c r="B62" s="1167" t="s">
        <v>1479</v>
      </c>
      <c r="C62" s="1149"/>
      <c r="D62" s="1149"/>
      <c r="E62" s="1149"/>
      <c r="F62" s="1165"/>
    </row>
    <row r="63" spans="1:11">
      <c r="A63" s="1163"/>
      <c r="B63" s="1169" t="s">
        <v>1122</v>
      </c>
      <c r="C63" s="1170">
        <v>335991.19</v>
      </c>
      <c r="D63" s="1149"/>
      <c r="E63" s="1170">
        <v>0</v>
      </c>
      <c r="F63" s="1165"/>
    </row>
    <row r="64" spans="1:11">
      <c r="A64" s="1163"/>
      <c r="B64" s="1169" t="s">
        <v>1123</v>
      </c>
      <c r="C64" s="1171">
        <v>114841.98</v>
      </c>
      <c r="D64" s="1149"/>
      <c r="E64" s="1171">
        <v>310937.13</v>
      </c>
      <c r="F64" s="1165"/>
    </row>
    <row r="65" spans="1:8">
      <c r="A65" s="1163"/>
      <c r="B65" s="1169" t="s">
        <v>1124</v>
      </c>
      <c r="C65" s="1171">
        <v>87572.41</v>
      </c>
      <c r="D65" s="1149"/>
      <c r="E65" s="1171">
        <v>249887.74</v>
      </c>
      <c r="F65" s="1165"/>
    </row>
    <row r="66" spans="1:8">
      <c r="A66" s="1163"/>
      <c r="B66" s="1169" t="s">
        <v>1125</v>
      </c>
      <c r="C66" s="1171">
        <v>59430.02</v>
      </c>
      <c r="D66" s="1149"/>
      <c r="E66" s="1171">
        <v>181241.54</v>
      </c>
      <c r="F66" s="1165"/>
    </row>
    <row r="67" spans="1:8">
      <c r="A67" s="1163"/>
      <c r="B67" s="1169" t="s">
        <v>1477</v>
      </c>
      <c r="C67" s="1171">
        <v>482534.45</v>
      </c>
      <c r="D67" s="1149"/>
      <c r="E67" s="1171">
        <v>131727.4</v>
      </c>
      <c r="F67" s="1165"/>
    </row>
    <row r="68" spans="1:8">
      <c r="A68" s="1163"/>
      <c r="B68" s="1169" t="s">
        <v>1478</v>
      </c>
      <c r="C68" s="1172">
        <v>0</v>
      </c>
      <c r="D68" s="1149"/>
      <c r="E68" s="1172">
        <v>3814506.25</v>
      </c>
      <c r="F68" s="1165"/>
      <c r="G68" s="916">
        <f>SUM(C11+C12)</f>
        <v>4444126.41</v>
      </c>
      <c r="H68" s="916">
        <f>G68+G59</f>
        <v>17351005.140000001</v>
      </c>
    </row>
    <row r="69" spans="1:8">
      <c r="A69" s="1163"/>
      <c r="B69" s="1164" t="s">
        <v>3509</v>
      </c>
      <c r="C69" s="1168">
        <f>SUM(C63:C68)</f>
        <v>1080370.05</v>
      </c>
      <c r="D69" s="1168"/>
      <c r="E69" s="1168">
        <f>SUM(E63:E68)</f>
        <v>4688300.0600000005</v>
      </c>
      <c r="F69" s="1165"/>
      <c r="G69" s="916">
        <f>G68-C68</f>
        <v>4444126.41</v>
      </c>
      <c r="H69" s="916">
        <f>G69+G60</f>
        <v>17351005.140000001</v>
      </c>
    </row>
    <row r="70" spans="1:8">
      <c r="A70" s="1163"/>
      <c r="B70" s="1176"/>
      <c r="C70" s="1149"/>
      <c r="D70" s="1149"/>
      <c r="E70" s="1149"/>
      <c r="F70" s="1165"/>
      <c r="G70" s="916">
        <f>771027.16+298733.37</f>
        <v>1069760.53</v>
      </c>
    </row>
    <row r="71" spans="1:8">
      <c r="A71" s="1163"/>
      <c r="B71" s="1167" t="s">
        <v>3524</v>
      </c>
      <c r="C71" s="1149"/>
      <c r="D71" s="1149"/>
      <c r="E71" s="1149"/>
      <c r="F71" s="1165"/>
    </row>
    <row r="72" spans="1:8">
      <c r="A72" s="1163"/>
      <c r="B72" s="1169" t="s">
        <v>1122</v>
      </c>
      <c r="C72" s="1170">
        <v>158704.75</v>
      </c>
      <c r="D72" s="1149"/>
      <c r="E72" s="1170">
        <v>0</v>
      </c>
      <c r="F72" s="1165"/>
    </row>
    <row r="73" spans="1:8">
      <c r="A73" s="1163"/>
      <c r="B73" s="1169" t="s">
        <v>1123</v>
      </c>
      <c r="C73" s="1171">
        <v>124179.7</v>
      </c>
      <c r="D73" s="1149"/>
      <c r="E73" s="1171">
        <v>0</v>
      </c>
      <c r="F73" s="1165"/>
    </row>
    <row r="74" spans="1:8">
      <c r="A74" s="1163"/>
      <c r="B74" s="1169" t="s">
        <v>1124</v>
      </c>
      <c r="C74" s="1171">
        <v>115237.14</v>
      </c>
      <c r="D74" s="1149"/>
      <c r="E74" s="1171">
        <v>0</v>
      </c>
      <c r="F74" s="1165"/>
    </row>
    <row r="75" spans="1:8">
      <c r="A75" s="1163"/>
      <c r="B75" s="1169" t="s">
        <v>1125</v>
      </c>
      <c r="C75" s="1171">
        <v>108315.91</v>
      </c>
      <c r="D75" s="1149"/>
      <c r="E75" s="1171">
        <v>0</v>
      </c>
      <c r="F75" s="1165"/>
    </row>
    <row r="76" spans="1:8">
      <c r="A76" s="1163"/>
      <c r="B76" s="1169" t="s">
        <v>1477</v>
      </c>
      <c r="C76" s="1171">
        <v>3762519.91</v>
      </c>
      <c r="D76" s="1149"/>
      <c r="E76" s="1171">
        <v>0</v>
      </c>
      <c r="F76" s="1165"/>
    </row>
    <row r="77" spans="1:8">
      <c r="A77" s="1163"/>
      <c r="B77" s="1169" t="s">
        <v>1478</v>
      </c>
      <c r="C77" s="1172">
        <v>0</v>
      </c>
      <c r="D77" s="1149"/>
      <c r="E77" s="1172">
        <v>0</v>
      </c>
      <c r="F77" s="1165"/>
    </row>
    <row r="78" spans="1:8">
      <c r="A78" s="1163"/>
      <c r="B78" s="1164" t="s">
        <v>3509</v>
      </c>
      <c r="C78" s="1168">
        <f>SUM(C72:C77)</f>
        <v>4268957.41</v>
      </c>
      <c r="D78" s="1149"/>
      <c r="E78" s="1168">
        <f>SUM(E72:E77)</f>
        <v>0</v>
      </c>
      <c r="F78" s="1165"/>
    </row>
    <row r="79" spans="1:8">
      <c r="A79" s="1163"/>
      <c r="B79" s="1176"/>
      <c r="C79" s="1149"/>
      <c r="D79" s="1149"/>
      <c r="E79" s="1149"/>
      <c r="F79" s="1165"/>
    </row>
    <row r="80" spans="1:8">
      <c r="A80" s="1163"/>
      <c r="B80" s="1167" t="s">
        <v>3686</v>
      </c>
      <c r="C80" s="1149"/>
      <c r="D80" s="1149"/>
      <c r="E80" s="1149"/>
      <c r="F80" s="1165"/>
    </row>
    <row r="81" spans="1:8">
      <c r="A81" s="1163"/>
      <c r="B81" s="1169" t="s">
        <v>1122</v>
      </c>
      <c r="C81" s="1170">
        <v>7057.91</v>
      </c>
      <c r="D81" s="1149"/>
      <c r="E81" s="1149"/>
      <c r="F81" s="1165"/>
    </row>
    <row r="82" spans="1:8">
      <c r="A82" s="1163"/>
      <c r="B82" s="1169" t="s">
        <v>1123</v>
      </c>
      <c r="C82" s="1171">
        <v>6323.28</v>
      </c>
      <c r="D82" s="1149"/>
      <c r="E82" s="1149"/>
      <c r="F82" s="1165"/>
    </row>
    <row r="83" spans="1:8">
      <c r="A83" s="1163"/>
      <c r="B83" s="1169" t="s">
        <v>1124</v>
      </c>
      <c r="C83" s="1171">
        <v>6715.77</v>
      </c>
      <c r="D83" s="1149">
        <v>0</v>
      </c>
      <c r="E83" s="1149"/>
      <c r="F83" s="1165"/>
    </row>
    <row r="84" spans="1:8">
      <c r="A84" s="1163"/>
      <c r="B84" s="1169" t="s">
        <v>1125</v>
      </c>
      <c r="C84" s="1171">
        <v>6070.14</v>
      </c>
      <c r="D84" s="1149"/>
      <c r="E84" s="1149"/>
      <c r="F84" s="1165"/>
    </row>
    <row r="85" spans="1:8">
      <c r="A85" s="1163"/>
      <c r="B85" s="1169" t="s">
        <v>1477</v>
      </c>
      <c r="C85" s="1171">
        <f>8259.12+132403.87</f>
        <v>140662.99</v>
      </c>
      <c r="D85" s="1149"/>
      <c r="E85" s="1149"/>
      <c r="F85" s="1165"/>
    </row>
    <row r="86" spans="1:8">
      <c r="A86" s="1163"/>
      <c r="B86" s="1169" t="s">
        <v>1478</v>
      </c>
      <c r="C86" s="1172">
        <v>0</v>
      </c>
      <c r="D86" s="1149"/>
      <c r="E86" s="1149"/>
      <c r="F86" s="1165"/>
    </row>
    <row r="87" spans="1:8">
      <c r="A87" s="1163"/>
      <c r="B87" s="1164" t="s">
        <v>3509</v>
      </c>
      <c r="C87" s="1168">
        <f>SUM(C81:C86)</f>
        <v>166830.09</v>
      </c>
      <c r="D87" s="1149"/>
      <c r="E87" s="1149"/>
      <c r="F87" s="1165"/>
      <c r="G87" s="916">
        <f>C17</f>
        <v>0</v>
      </c>
      <c r="H87" s="916" t="s">
        <v>1562</v>
      </c>
    </row>
    <row r="88" spans="1:8">
      <c r="A88" s="1163"/>
      <c r="B88" s="1176"/>
      <c r="C88" s="1149"/>
      <c r="D88" s="1149"/>
      <c r="E88" s="1149"/>
      <c r="F88" s="1165"/>
      <c r="G88" s="916">
        <f>G87-C87</f>
        <v>-166830.09</v>
      </c>
    </row>
    <row r="89" spans="1:8">
      <c r="A89" s="1163"/>
      <c r="B89" s="1176"/>
      <c r="C89" s="1149"/>
      <c r="D89" s="1149"/>
      <c r="E89" s="1149"/>
      <c r="F89" s="1165"/>
    </row>
    <row r="90" spans="1:8">
      <c r="A90" s="1163"/>
      <c r="B90" s="1167" t="s">
        <v>2729</v>
      </c>
      <c r="C90" s="1149"/>
      <c r="D90" s="1149"/>
      <c r="E90" s="1149"/>
      <c r="F90" s="1165"/>
    </row>
    <row r="91" spans="1:8">
      <c r="A91" s="1163"/>
      <c r="B91" s="1169" t="s">
        <v>1122</v>
      </c>
      <c r="C91" s="1170">
        <f>1705.98</f>
        <v>1705.98</v>
      </c>
      <c r="D91" s="1149"/>
      <c r="E91" s="1149"/>
      <c r="F91" s="1165"/>
    </row>
    <row r="92" spans="1:8">
      <c r="A92" s="1163"/>
      <c r="B92" s="1169" t="s">
        <v>1123</v>
      </c>
      <c r="C92" s="1171">
        <f>105.99+68.75</f>
        <v>174.74</v>
      </c>
      <c r="D92" s="1149"/>
      <c r="E92" s="1149"/>
      <c r="F92" s="1165"/>
    </row>
    <row r="93" spans="1:8">
      <c r="A93" s="1163"/>
      <c r="B93" s="1169" t="s">
        <v>1124</v>
      </c>
      <c r="C93" s="1171">
        <v>174.74</v>
      </c>
      <c r="D93" s="1149"/>
      <c r="E93" s="1149"/>
      <c r="F93" s="1165"/>
    </row>
    <row r="94" spans="1:8">
      <c r="A94" s="1163"/>
      <c r="B94" s="1169" t="s">
        <v>1125</v>
      </c>
      <c r="C94" s="1171">
        <v>174.74</v>
      </c>
      <c r="D94" s="1149"/>
      <c r="E94" s="1149"/>
      <c r="F94" s="1165"/>
    </row>
    <row r="95" spans="1:8">
      <c r="A95" s="1163"/>
      <c r="B95" s="1169" t="s">
        <v>1477</v>
      </c>
      <c r="C95" s="1171">
        <f>174.74+285039.68+5336.84+56233.34</f>
        <v>346784.6</v>
      </c>
      <c r="D95" s="1149"/>
      <c r="E95" s="1149"/>
      <c r="F95" s="1165"/>
    </row>
    <row r="96" spans="1:8">
      <c r="A96" s="1163"/>
      <c r="B96" s="1169" t="s">
        <v>1478</v>
      </c>
      <c r="C96" s="1172">
        <v>0</v>
      </c>
      <c r="D96" s="1149"/>
      <c r="E96" s="1149"/>
      <c r="F96" s="1165"/>
    </row>
    <row r="97" spans="1:11" s="924" customFormat="1">
      <c r="A97" s="1163"/>
      <c r="B97" s="1164" t="s">
        <v>3509</v>
      </c>
      <c r="C97" s="1168">
        <f>SUM(C91:C96)</f>
        <v>349014.8</v>
      </c>
      <c r="D97" s="1149"/>
      <c r="E97" s="1149"/>
      <c r="F97" s="1165"/>
      <c r="G97" s="923"/>
      <c r="H97" s="923"/>
      <c r="I97" s="923"/>
      <c r="J97" s="923"/>
      <c r="K97" s="923"/>
    </row>
    <row r="98" spans="1:11">
      <c r="A98" s="1163"/>
      <c r="B98" s="1176"/>
      <c r="C98" s="1149"/>
      <c r="D98" s="1149"/>
      <c r="E98" s="1149"/>
      <c r="F98" s="1165"/>
    </row>
    <row r="99" spans="1:11">
      <c r="A99" s="1163"/>
      <c r="B99" s="1176"/>
      <c r="C99" s="1149"/>
      <c r="D99" s="1149"/>
      <c r="E99" s="1149"/>
      <c r="F99" s="1165"/>
    </row>
    <row r="100" spans="1:11">
      <c r="A100" s="1163"/>
      <c r="B100" s="1167" t="s">
        <v>3687</v>
      </c>
      <c r="C100" s="1149"/>
      <c r="D100" s="1149"/>
      <c r="E100" s="1149"/>
      <c r="F100" s="1165"/>
    </row>
    <row r="101" spans="1:11">
      <c r="A101" s="1163"/>
      <c r="B101" s="1169" t="s">
        <v>1122</v>
      </c>
      <c r="C101" s="1170">
        <v>0</v>
      </c>
      <c r="D101" s="1149"/>
      <c r="E101" s="1149"/>
      <c r="F101" s="1165"/>
    </row>
    <row r="102" spans="1:11">
      <c r="A102" s="1163"/>
      <c r="B102" s="1169" t="s">
        <v>1123</v>
      </c>
      <c r="C102" s="1171">
        <v>0</v>
      </c>
      <c r="D102" s="1149"/>
      <c r="E102" s="1149"/>
      <c r="F102" s="1165"/>
    </row>
    <row r="103" spans="1:11">
      <c r="A103" s="1163"/>
      <c r="B103" s="1169" t="s">
        <v>1124</v>
      </c>
      <c r="C103" s="1171">
        <v>0</v>
      </c>
      <c r="D103" s="1149"/>
      <c r="E103" s="1149"/>
      <c r="F103" s="1165"/>
    </row>
    <row r="104" spans="1:11">
      <c r="A104" s="1163"/>
      <c r="B104" s="1169" t="s">
        <v>1125</v>
      </c>
      <c r="C104" s="1171">
        <v>0</v>
      </c>
      <c r="D104" s="1149"/>
      <c r="E104" s="1149"/>
      <c r="F104" s="1165"/>
    </row>
    <row r="105" spans="1:11">
      <c r="A105" s="1163"/>
      <c r="B105" s="1169" t="s">
        <v>1477</v>
      </c>
      <c r="C105" s="1171">
        <v>97300.26</v>
      </c>
      <c r="D105" s="1149"/>
      <c r="E105" s="1149"/>
      <c r="F105" s="1165"/>
    </row>
    <row r="106" spans="1:11">
      <c r="A106" s="1163"/>
      <c r="B106" s="1169" t="s">
        <v>1478</v>
      </c>
      <c r="C106" s="1172">
        <v>0</v>
      </c>
      <c r="D106" s="1149"/>
      <c r="E106" s="1149"/>
      <c r="F106" s="1165"/>
    </row>
    <row r="107" spans="1:11">
      <c r="A107" s="1163"/>
      <c r="B107" s="1164" t="s">
        <v>3509</v>
      </c>
      <c r="C107" s="1168">
        <f>SUM(C101:C106)</f>
        <v>97300.26</v>
      </c>
      <c r="D107" s="1149"/>
      <c r="E107" s="1149"/>
      <c r="F107" s="1165"/>
    </row>
    <row r="108" spans="1:11">
      <c r="A108" s="1163"/>
      <c r="B108" s="1176"/>
      <c r="C108" s="1149"/>
      <c r="D108" s="1149"/>
      <c r="E108" s="1149"/>
      <c r="F108" s="1165"/>
    </row>
    <row r="109" spans="1:11">
      <c r="A109" s="1163"/>
      <c r="B109" s="1176"/>
      <c r="C109" s="1149"/>
      <c r="D109" s="1149"/>
      <c r="E109" s="1149"/>
      <c r="F109" s="1165"/>
    </row>
    <row r="110" spans="1:11">
      <c r="A110" s="1163"/>
      <c r="B110" s="1167" t="s">
        <v>1516</v>
      </c>
      <c r="C110" s="1149"/>
      <c r="D110" s="1149"/>
      <c r="E110" s="1149"/>
      <c r="F110" s="1165"/>
    </row>
    <row r="111" spans="1:11">
      <c r="A111" s="1163"/>
      <c r="B111" s="1169" t="s">
        <v>1122</v>
      </c>
      <c r="C111" s="1170">
        <v>12.08</v>
      </c>
      <c r="D111" s="1149"/>
      <c r="E111" s="1149"/>
      <c r="F111" s="1165"/>
    </row>
    <row r="112" spans="1:11">
      <c r="A112" s="1163"/>
      <c r="B112" s="1169" t="s">
        <v>1123</v>
      </c>
      <c r="C112" s="1171">
        <v>12.08</v>
      </c>
      <c r="D112" s="1149"/>
      <c r="E112" s="1149"/>
      <c r="F112" s="1165"/>
    </row>
    <row r="113" spans="1:6">
      <c r="A113" s="1163"/>
      <c r="B113" s="1169" t="s">
        <v>1124</v>
      </c>
      <c r="C113" s="1171">
        <v>12.08</v>
      </c>
      <c r="D113" s="1149"/>
      <c r="E113" s="1149"/>
      <c r="F113" s="1165"/>
    </row>
    <row r="114" spans="1:6">
      <c r="A114" s="1163"/>
      <c r="B114" s="1169" t="s">
        <v>1125</v>
      </c>
      <c r="C114" s="1171">
        <v>12.08</v>
      </c>
      <c r="D114" s="1149"/>
      <c r="E114" s="1149"/>
      <c r="F114" s="1165"/>
    </row>
    <row r="115" spans="1:6">
      <c r="A115" s="1163"/>
      <c r="B115" s="1169" t="s">
        <v>1477</v>
      </c>
      <c r="C115" s="1171">
        <f>12.08+633493.84</f>
        <v>633505.91999999993</v>
      </c>
      <c r="D115" s="1149"/>
      <c r="E115" s="1149"/>
      <c r="F115" s="1165"/>
    </row>
    <row r="116" spans="1:6">
      <c r="A116" s="1163"/>
      <c r="B116" s="1169" t="s">
        <v>1478</v>
      </c>
      <c r="C116" s="1172">
        <v>0</v>
      </c>
      <c r="D116" s="1149"/>
      <c r="E116" s="1149"/>
      <c r="F116" s="1165"/>
    </row>
    <row r="117" spans="1:6">
      <c r="A117" s="1163"/>
      <c r="B117" s="1164" t="s">
        <v>3509</v>
      </c>
      <c r="C117" s="1168">
        <f>SUM(C111:C116)</f>
        <v>633554.23999999987</v>
      </c>
      <c r="D117" s="1149"/>
      <c r="E117" s="1149"/>
      <c r="F117" s="1165"/>
    </row>
    <row r="118" spans="1:6">
      <c r="A118" s="1163"/>
      <c r="B118" s="1176"/>
      <c r="C118" s="1149"/>
      <c r="D118" s="1149"/>
      <c r="E118" s="1149"/>
      <c r="F118" s="1165"/>
    </row>
    <row r="119" spans="1:6">
      <c r="A119" s="1163"/>
      <c r="B119" s="1176"/>
      <c r="C119" s="1149"/>
      <c r="D119" s="1149"/>
      <c r="E119" s="1149"/>
      <c r="F119" s="1165"/>
    </row>
    <row r="120" spans="1:6">
      <c r="A120" s="1163"/>
      <c r="B120" s="1167" t="s">
        <v>713</v>
      </c>
      <c r="C120" s="1149"/>
      <c r="D120" s="1149"/>
      <c r="E120" s="1149"/>
      <c r="F120" s="1165"/>
    </row>
    <row r="121" spans="1:6">
      <c r="A121" s="1163"/>
      <c r="B121" s="1169" t="s">
        <v>1122</v>
      </c>
      <c r="C121" s="1170">
        <f>19936.65+3927.25+61056.77+405.56</f>
        <v>85326.23</v>
      </c>
      <c r="D121" s="1149"/>
      <c r="E121" s="1170">
        <v>0</v>
      </c>
      <c r="F121" s="1165"/>
    </row>
    <row r="122" spans="1:6">
      <c r="A122" s="1163"/>
      <c r="B122" s="1169" t="s">
        <v>1123</v>
      </c>
      <c r="C122" s="1171">
        <f>29021.37+227703.12+1399.77</f>
        <v>258124.25999999998</v>
      </c>
      <c r="D122" s="1149"/>
      <c r="E122" s="1171">
        <v>56027.26</v>
      </c>
      <c r="F122" s="1165"/>
    </row>
    <row r="123" spans="1:6">
      <c r="A123" s="1163"/>
      <c r="B123" s="1169" t="s">
        <v>1124</v>
      </c>
      <c r="C123" s="1171">
        <f>6723.1+3733.1+1403.5</f>
        <v>11859.7</v>
      </c>
      <c r="D123" s="1149"/>
      <c r="E123" s="1171">
        <v>17042.830000000002</v>
      </c>
      <c r="F123" s="1165"/>
    </row>
    <row r="124" spans="1:6">
      <c r="A124" s="1163"/>
      <c r="B124" s="1169" t="s">
        <v>1125</v>
      </c>
      <c r="C124" s="1171">
        <f>16048.32+2100.7+1420.75</f>
        <v>19569.77</v>
      </c>
      <c r="D124" s="1149"/>
      <c r="E124" s="1171">
        <v>413821.05</v>
      </c>
      <c r="F124" s="1165"/>
    </row>
    <row r="125" spans="1:6">
      <c r="A125" s="1163"/>
      <c r="B125" s="1169" t="s">
        <v>656</v>
      </c>
      <c r="C125" s="1171">
        <f>7639.35+2100626.6+1121.74+325556.07+383.02+342+135021.03+1432.92+92.89</f>
        <v>2572215.62</v>
      </c>
      <c r="D125" s="1149"/>
      <c r="E125" s="1171">
        <v>17407.05</v>
      </c>
      <c r="F125" s="1165"/>
    </row>
    <row r="126" spans="1:6">
      <c r="A126" s="1163"/>
      <c r="B126" s="1169" t="s">
        <v>657</v>
      </c>
      <c r="C126" s="1172">
        <v>0</v>
      </c>
      <c r="D126" s="1149"/>
      <c r="E126" s="1172">
        <v>3978589.38</v>
      </c>
      <c r="F126" s="1165"/>
    </row>
    <row r="127" spans="1:6">
      <c r="A127" s="1163"/>
      <c r="B127" s="1164" t="s">
        <v>3509</v>
      </c>
      <c r="C127" s="1168">
        <f>SUM(C121:C126)</f>
        <v>2947095.58</v>
      </c>
      <c r="D127" s="1149"/>
      <c r="E127" s="1168">
        <f>SUM(E121:E126)</f>
        <v>4482887.57</v>
      </c>
      <c r="F127" s="1165"/>
    </row>
    <row r="128" spans="1:6" ht="13.5" thickBot="1">
      <c r="A128" s="1163"/>
      <c r="B128" s="1164" t="s">
        <v>659</v>
      </c>
      <c r="C128" s="1173">
        <f>C127+C78+C69+C60+C87+C97+C107+C117</f>
        <v>12906878.790000001</v>
      </c>
      <c r="D128" s="1149"/>
      <c r="E128" s="1173">
        <f>E127+E78+E69+E60</f>
        <v>11409618</v>
      </c>
      <c r="F128" s="1165"/>
    </row>
    <row r="129" spans="1:6" ht="13.5" thickTop="1">
      <c r="A129" s="1163"/>
      <c r="B129" s="1164"/>
      <c r="C129" s="1149"/>
      <c r="D129" s="1149"/>
      <c r="E129" s="1149"/>
      <c r="F129" s="1165"/>
    </row>
    <row r="130" spans="1:6">
      <c r="A130" s="1163"/>
      <c r="B130" s="1167" t="s">
        <v>575</v>
      </c>
      <c r="C130" s="1149"/>
      <c r="D130" s="1149"/>
      <c r="E130" s="1149"/>
      <c r="F130" s="1165"/>
    </row>
    <row r="131" spans="1:6">
      <c r="A131" s="1163"/>
      <c r="B131" s="1169" t="s">
        <v>1122</v>
      </c>
      <c r="C131" s="1170">
        <v>1106257.03</v>
      </c>
      <c r="D131" s="1149"/>
      <c r="E131" s="1170">
        <f>E121+E63+E54</f>
        <v>0</v>
      </c>
      <c r="F131" s="1165"/>
    </row>
    <row r="132" spans="1:6">
      <c r="A132" s="1163"/>
      <c r="B132" s="1169" t="s">
        <v>1123</v>
      </c>
      <c r="C132" s="1171">
        <v>439534.4</v>
      </c>
      <c r="D132" s="1149"/>
      <c r="E132" s="1171">
        <f>E122+E72+E64+E55</f>
        <v>506180.34</v>
      </c>
      <c r="F132" s="1165"/>
    </row>
    <row r="133" spans="1:6">
      <c r="A133" s="1163"/>
      <c r="B133" s="1169" t="s">
        <v>1124</v>
      </c>
      <c r="C133" s="1171">
        <v>389014.08</v>
      </c>
      <c r="D133" s="1149"/>
      <c r="E133" s="1171">
        <f>E123+E73+E65+E56</f>
        <v>382057.45</v>
      </c>
      <c r="F133" s="1165"/>
    </row>
    <row r="134" spans="1:6">
      <c r="A134" s="1163"/>
      <c r="B134" s="1169" t="s">
        <v>1125</v>
      </c>
      <c r="C134" s="1171">
        <v>363136.66</v>
      </c>
      <c r="D134" s="1149"/>
      <c r="E134" s="1171">
        <v>701563.79</v>
      </c>
      <c r="F134" s="1165"/>
    </row>
    <row r="135" spans="1:6">
      <c r="A135" s="1163"/>
      <c r="B135" s="1169" t="s">
        <v>656</v>
      </c>
      <c r="C135" s="1171">
        <v>10608936.560000001</v>
      </c>
      <c r="D135" s="1149"/>
      <c r="E135" s="1171">
        <f>E125+E77+E67+E58</f>
        <v>254403.39999999997</v>
      </c>
      <c r="F135" s="1165"/>
    </row>
    <row r="136" spans="1:6">
      <c r="A136" s="1163"/>
      <c r="B136" s="1169" t="s">
        <v>657</v>
      </c>
      <c r="C136" s="1172">
        <f>C126+C68+C59</f>
        <v>0</v>
      </c>
      <c r="D136" s="1149"/>
      <c r="E136" s="1172">
        <f>E126+E68+E59</f>
        <v>9565413.0199999996</v>
      </c>
      <c r="F136" s="1165"/>
    </row>
    <row r="137" spans="1:6">
      <c r="A137" s="1163"/>
      <c r="B137" s="1164" t="s">
        <v>660</v>
      </c>
      <c r="C137" s="1168">
        <f>SUM(C131:C136)</f>
        <v>12906878.73</v>
      </c>
      <c r="D137" s="1149"/>
      <c r="E137" s="1168">
        <f>SUM(E131:E136)</f>
        <v>11409618</v>
      </c>
      <c r="F137" s="1165"/>
    </row>
    <row r="138" spans="1:6">
      <c r="A138" s="1163"/>
      <c r="B138" s="1164"/>
      <c r="C138" s="1168"/>
      <c r="D138" s="1149"/>
      <c r="E138" s="1168"/>
      <c r="F138" s="1165"/>
    </row>
    <row r="139" spans="1:6">
      <c r="A139" s="1163"/>
      <c r="B139" s="1167" t="s">
        <v>1461</v>
      </c>
      <c r="C139" s="1149">
        <f>-58891.69+1.28</f>
        <v>-58890.41</v>
      </c>
      <c r="D139" s="1149"/>
      <c r="E139" s="1168"/>
      <c r="F139" s="1165"/>
    </row>
    <row r="140" spans="1:6">
      <c r="A140" s="1163"/>
      <c r="B140" s="1167" t="s">
        <v>1466</v>
      </c>
      <c r="C140" s="1149">
        <v>-185243.1</v>
      </c>
      <c r="D140" s="1149"/>
      <c r="E140" s="1168"/>
      <c r="F140" s="1165"/>
    </row>
    <row r="141" spans="1:6" ht="13.5" thickBot="1">
      <c r="A141" s="1185"/>
      <c r="B141" s="948"/>
      <c r="C141" s="1207">
        <f>SUM(C137:C140)</f>
        <v>12662745.220000001</v>
      </c>
      <c r="D141" s="1187"/>
      <c r="E141" s="1187"/>
      <c r="F141" s="1188"/>
    </row>
    <row r="142" spans="1:6" ht="13.5" thickTop="1">
      <c r="A142" s="1212"/>
      <c r="B142" s="948"/>
      <c r="C142" s="1149"/>
      <c r="D142" s="1149"/>
      <c r="E142" s="1213"/>
      <c r="F142" s="1214"/>
    </row>
    <row r="143" spans="1:6" ht="25.5">
      <c r="A143" s="1212"/>
      <c r="B143" s="1186" t="s">
        <v>661</v>
      </c>
      <c r="C143" s="1149"/>
      <c r="D143" s="1149"/>
      <c r="E143" s="1213"/>
      <c r="F143" s="1214"/>
    </row>
    <row r="144" spans="1:6">
      <c r="A144" s="1212"/>
      <c r="B144" s="1186"/>
      <c r="C144" s="1149"/>
      <c r="D144" s="1149"/>
      <c r="E144" s="1213"/>
      <c r="F144" s="1214"/>
    </row>
    <row r="145" spans="1:8">
      <c r="A145" s="1212"/>
      <c r="B145" s="1149"/>
      <c r="C145" s="1149"/>
      <c r="D145" s="1149"/>
      <c r="E145" s="1213"/>
      <c r="F145" s="1214"/>
    </row>
    <row r="146" spans="1:8">
      <c r="A146" s="1348" t="s">
        <v>3690</v>
      </c>
      <c r="B146" s="1349"/>
      <c r="C146" s="1349"/>
      <c r="D146" s="1349"/>
      <c r="E146" s="1349"/>
      <c r="F146" s="1215"/>
    </row>
    <row r="147" spans="1:8">
      <c r="A147" s="875"/>
      <c r="B147" s="869"/>
      <c r="F147" s="1215"/>
    </row>
    <row r="148" spans="1:8">
      <c r="A148" s="875"/>
      <c r="B148" s="1216" t="s">
        <v>1516</v>
      </c>
      <c r="C148" s="1208">
        <v>1240510.96</v>
      </c>
      <c r="D148" s="1216"/>
      <c r="E148" s="1216"/>
      <c r="F148" s="1217"/>
      <c r="G148" s="1206"/>
      <c r="H148" s="1206"/>
    </row>
    <row r="149" spans="1:8">
      <c r="A149" s="875"/>
      <c r="B149" s="1216" t="s">
        <v>2176</v>
      </c>
      <c r="C149" s="1209">
        <v>642873.15</v>
      </c>
      <c r="D149" s="1216"/>
      <c r="E149" s="1216"/>
      <c r="F149" s="1217"/>
      <c r="G149" s="1206"/>
      <c r="H149" s="1206"/>
    </row>
    <row r="150" spans="1:8">
      <c r="A150" s="875"/>
      <c r="B150" s="1216" t="s">
        <v>2812</v>
      </c>
      <c r="C150" s="1209">
        <v>659210.02</v>
      </c>
      <c r="D150" s="1216"/>
      <c r="E150" s="1216"/>
      <c r="F150" s="1217"/>
      <c r="G150" s="1206"/>
      <c r="H150" s="1206"/>
    </row>
    <row r="151" spans="1:8">
      <c r="A151" s="875"/>
      <c r="B151" s="1216" t="s">
        <v>2815</v>
      </c>
      <c r="C151" s="1209">
        <v>81475.98000000001</v>
      </c>
      <c r="D151" s="1216"/>
      <c r="E151" s="1216"/>
      <c r="F151" s="1217"/>
      <c r="G151" s="1206"/>
      <c r="H151" s="1206"/>
    </row>
    <row r="152" spans="1:8">
      <c r="A152" s="875"/>
      <c r="B152" s="1216" t="s">
        <v>2177</v>
      </c>
      <c r="C152" s="1209">
        <v>464305.51</v>
      </c>
      <c r="D152" s="1216"/>
      <c r="E152" s="1216"/>
      <c r="F152" s="1217"/>
      <c r="G152" s="1206"/>
      <c r="H152" s="1206"/>
    </row>
    <row r="153" spans="1:8">
      <c r="A153" s="875"/>
      <c r="B153" s="1216" t="s">
        <v>2926</v>
      </c>
      <c r="C153" s="1209">
        <v>6097.14</v>
      </c>
      <c r="D153" s="1216"/>
      <c r="E153" s="1216"/>
      <c r="F153" s="1217"/>
      <c r="G153" s="1206"/>
      <c r="H153" s="1206"/>
    </row>
    <row r="154" spans="1:8">
      <c r="A154" s="875"/>
      <c r="B154" s="1216" t="s">
        <v>3153</v>
      </c>
      <c r="C154" s="1209">
        <v>9295579.8399999999</v>
      </c>
      <c r="D154" s="1216"/>
      <c r="E154" s="1216"/>
      <c r="F154" s="1217"/>
      <c r="G154" s="1206"/>
      <c r="H154" s="1206"/>
    </row>
    <row r="155" spans="1:8">
      <c r="A155" s="875"/>
      <c r="B155" s="1216" t="s">
        <v>3691</v>
      </c>
      <c r="C155" s="1209">
        <v>54199.94</v>
      </c>
      <c r="D155" s="1216"/>
      <c r="E155" s="1216"/>
      <c r="F155" s="1217"/>
      <c r="G155" s="1206"/>
      <c r="H155" s="1206"/>
    </row>
    <row r="156" spans="1:8">
      <c r="A156" s="875"/>
      <c r="B156" s="1216" t="s">
        <v>2816</v>
      </c>
      <c r="C156" s="1209">
        <v>122723.92</v>
      </c>
      <c r="D156" s="1216"/>
      <c r="E156" s="1216"/>
      <c r="F156" s="1217"/>
      <c r="G156" s="1206"/>
      <c r="H156" s="1206"/>
    </row>
    <row r="157" spans="1:8">
      <c r="A157" s="875"/>
      <c r="B157" s="1216" t="s">
        <v>3692</v>
      </c>
      <c r="C157" s="1210">
        <v>339902.27</v>
      </c>
      <c r="D157" s="1216"/>
      <c r="E157" s="1216"/>
      <c r="F157" s="1217"/>
      <c r="G157" s="1206"/>
      <c r="H157" s="1206"/>
    </row>
    <row r="158" spans="1:8" ht="13.5" thickBot="1">
      <c r="A158" s="875"/>
      <c r="B158" s="1218" t="s">
        <v>2384</v>
      </c>
      <c r="C158" s="1211">
        <f>SUM(C148:C157)</f>
        <v>12906878.729999999</v>
      </c>
      <c r="D158" s="1216"/>
      <c r="E158" s="1216"/>
      <c r="F158" s="1217"/>
      <c r="G158" s="1206"/>
      <c r="H158" s="1206"/>
    </row>
    <row r="159" spans="1:8" ht="13.5" thickTop="1">
      <c r="A159" s="875"/>
      <c r="B159" s="869"/>
      <c r="F159" s="1215"/>
    </row>
    <row r="160" spans="1:8">
      <c r="A160" s="1163"/>
      <c r="B160" s="1167" t="s">
        <v>1461</v>
      </c>
      <c r="C160" s="1149">
        <f>-58891.69+1.28</f>
        <v>-58890.41</v>
      </c>
      <c r="D160" s="1149"/>
      <c r="E160" s="1168"/>
      <c r="F160" s="1165"/>
    </row>
    <row r="161" spans="1:6">
      <c r="A161" s="1163"/>
      <c r="B161" s="1167" t="s">
        <v>1466</v>
      </c>
      <c r="C161" s="1149">
        <v>-185243.1</v>
      </c>
      <c r="D161" s="1149"/>
      <c r="E161" s="1168"/>
      <c r="F161" s="1165"/>
    </row>
    <row r="162" spans="1:6" ht="13.5" thickBot="1">
      <c r="A162" s="1185"/>
      <c r="B162" s="948"/>
      <c r="C162" s="1207">
        <f>SUM(C158:C161)</f>
        <v>12662745.219999999</v>
      </c>
      <c r="D162" s="1187"/>
      <c r="E162" s="1187"/>
      <c r="F162" s="1188"/>
    </row>
    <row r="163" spans="1:6" ht="13.5" thickTop="1">
      <c r="A163" s="902"/>
      <c r="B163" s="903"/>
      <c r="C163" s="1219"/>
      <c r="D163" s="1219"/>
      <c r="E163" s="1219"/>
      <c r="F163" s="1220"/>
    </row>
  </sheetData>
  <mergeCells count="3">
    <mergeCell ref="A2:F2"/>
    <mergeCell ref="A3:F3"/>
    <mergeCell ref="A146:E146"/>
  </mergeCells>
  <phoneticPr fontId="0" type="noConversion"/>
  <printOptions horizontalCentered="1"/>
  <pageMargins left="0.6692913385826772" right="0.39370078740157483" top="0.98425196850393704" bottom="0.98425196850393704" header="0.51181102362204722" footer="0.51181102362204722"/>
  <pageSetup scale="74" orientation="portrait" r:id="rId1"/>
  <headerFooter>
    <oddHeader>&amp;C FINANCIAL STATEMENTS: MUSINA LOCAL MUNICIPALITY</oddHeader>
    <oddFooter>&amp;RPage &amp;P</oddFooter>
  </headerFooter>
  <rowBreaks count="2" manualBreakCount="2">
    <brk id="49" max="5" man="1"/>
    <brk id="108" max="5" man="1"/>
  </rowBreaks>
</worksheet>
</file>

<file path=xl/worksheets/sheet14.xml><?xml version="1.0" encoding="utf-8"?>
<worksheet xmlns="http://schemas.openxmlformats.org/spreadsheetml/2006/main" xmlns:r="http://schemas.openxmlformats.org/officeDocument/2006/relationships">
  <dimension ref="A1:L112"/>
  <sheetViews>
    <sheetView view="pageBreakPreview" zoomScaleSheetLayoutView="100" workbookViewId="0">
      <selection activeCell="A14" sqref="A14"/>
    </sheetView>
  </sheetViews>
  <sheetFormatPr defaultRowHeight="12.75"/>
  <cols>
    <col min="1" max="1" width="9.140625" style="881" customWidth="1"/>
    <col min="2" max="2" width="45.140625" style="867" customWidth="1"/>
    <col min="3" max="3" width="2.28515625" style="867" customWidth="1"/>
    <col min="4" max="4" width="19.42578125" style="915" bestFit="1" customWidth="1"/>
    <col min="5" max="7" width="2.28515625" style="867" customWidth="1"/>
    <col min="8" max="8" width="19.140625" style="915" bestFit="1" customWidth="1"/>
    <col min="9" max="9" width="2.28515625" style="867" customWidth="1"/>
    <col min="10" max="10" width="9.140625" style="867" customWidth="1"/>
    <col min="11" max="11" width="10.28515625" style="915" bestFit="1" customWidth="1"/>
    <col min="12" max="12" width="14.5703125" style="915" bestFit="1" customWidth="1"/>
    <col min="13" max="16384" width="9.140625" style="867"/>
  </cols>
  <sheetData>
    <row r="1" spans="1:12">
      <c r="A1" s="1350" t="s">
        <v>3477</v>
      </c>
      <c r="B1" s="1350"/>
      <c r="C1" s="1350"/>
      <c r="D1" s="1350"/>
      <c r="E1" s="1350"/>
      <c r="F1" s="1350"/>
      <c r="G1" s="1350"/>
      <c r="H1" s="1350"/>
      <c r="I1" s="1350"/>
    </row>
    <row r="2" spans="1:12">
      <c r="A2" s="1351" t="s">
        <v>3100</v>
      </c>
      <c r="B2" s="1351"/>
      <c r="C2" s="1351"/>
      <c r="D2" s="1351"/>
      <c r="E2" s="1351"/>
      <c r="F2" s="1351"/>
      <c r="G2" s="1351"/>
      <c r="H2" s="1351"/>
      <c r="I2" s="1351"/>
    </row>
    <row r="3" spans="1:12">
      <c r="A3" s="876"/>
      <c r="B3" s="869"/>
      <c r="C3" s="869"/>
      <c r="D3" s="870"/>
      <c r="E3" s="869"/>
      <c r="F3" s="869"/>
      <c r="G3" s="869"/>
      <c r="H3" s="876"/>
      <c r="I3" s="869"/>
    </row>
    <row r="4" spans="1:12">
      <c r="A4" s="875"/>
      <c r="B4" s="869"/>
      <c r="C4" s="869"/>
      <c r="D4" s="870"/>
      <c r="E4" s="869"/>
      <c r="F4" s="869"/>
      <c r="G4" s="869"/>
      <c r="H4" s="870"/>
      <c r="I4" s="883"/>
    </row>
    <row r="5" spans="1:12" s="881" customFormat="1">
      <c r="A5" s="875"/>
      <c r="B5" s="876"/>
      <c r="C5" s="876"/>
      <c r="D5" s="877" t="s">
        <v>2241</v>
      </c>
      <c r="E5" s="876"/>
      <c r="F5" s="876"/>
      <c r="G5" s="876"/>
      <c r="H5" s="877" t="s">
        <v>3558</v>
      </c>
      <c r="I5" s="878"/>
      <c r="K5" s="925"/>
      <c r="L5" s="925"/>
    </row>
    <row r="6" spans="1:12" s="881" customFormat="1">
      <c r="A6" s="875"/>
      <c r="B6" s="876"/>
      <c r="C6" s="876"/>
      <c r="D6" s="882" t="s">
        <v>3386</v>
      </c>
      <c r="E6" s="876"/>
      <c r="F6" s="876"/>
      <c r="G6" s="876"/>
      <c r="H6" s="882" t="s">
        <v>3386</v>
      </c>
      <c r="I6" s="878"/>
      <c r="K6" s="925"/>
      <c r="L6" s="925"/>
    </row>
    <row r="7" spans="1:12">
      <c r="A7" s="875"/>
      <c r="B7" s="869"/>
      <c r="C7" s="869"/>
      <c r="D7" s="870"/>
      <c r="E7" s="869"/>
      <c r="F7" s="869"/>
      <c r="G7" s="869"/>
      <c r="H7" s="870"/>
      <c r="I7" s="883"/>
    </row>
    <row r="8" spans="1:12" s="890" customFormat="1">
      <c r="A8" s="884" t="s">
        <v>998</v>
      </c>
      <c r="B8" s="885" t="s">
        <v>3437</v>
      </c>
      <c r="C8" s="886"/>
      <c r="D8" s="891"/>
      <c r="E8" s="886"/>
      <c r="F8" s="886"/>
      <c r="G8" s="886"/>
      <c r="H8" s="891"/>
      <c r="I8" s="887"/>
      <c r="K8" s="926"/>
      <c r="L8" s="926"/>
    </row>
    <row r="9" spans="1:12">
      <c r="A9" s="875"/>
      <c r="B9" s="895" t="s">
        <v>1597</v>
      </c>
      <c r="C9" s="869"/>
      <c r="D9" s="893">
        <f>SUM('main TB'!U203)</f>
        <v>1757.51</v>
      </c>
      <c r="E9" s="869"/>
      <c r="F9" s="869"/>
      <c r="G9" s="869"/>
      <c r="H9" s="893">
        <f>'main TB'!M203</f>
        <v>1757.51</v>
      </c>
      <c r="I9" s="883"/>
    </row>
    <row r="10" spans="1:12">
      <c r="A10" s="875"/>
      <c r="B10" s="895" t="s">
        <v>1137</v>
      </c>
      <c r="C10" s="869"/>
      <c r="D10" s="715">
        <f>SUM('main TB'!U202)</f>
        <v>511399.79000000004</v>
      </c>
      <c r="E10" s="869"/>
      <c r="F10" s="869"/>
      <c r="G10" s="869"/>
      <c r="H10" s="715">
        <f>'main TB'!M202</f>
        <v>613620.87</v>
      </c>
      <c r="I10" s="883"/>
      <c r="L10" s="867"/>
    </row>
    <row r="11" spans="1:12" ht="15">
      <c r="A11" s="875"/>
      <c r="B11" s="1167" t="s">
        <v>3700</v>
      </c>
      <c r="C11" s="869"/>
      <c r="D11" s="715">
        <f>+'main TB'!U211</f>
        <v>2313593.52</v>
      </c>
      <c r="E11" s="869"/>
      <c r="F11" s="869"/>
      <c r="G11" s="869"/>
      <c r="H11" s="715">
        <v>0</v>
      </c>
      <c r="I11" s="883"/>
      <c r="J11" s="927" t="s">
        <v>1500</v>
      </c>
      <c r="L11" s="867"/>
    </row>
    <row r="12" spans="1:12">
      <c r="A12" s="875"/>
      <c r="B12" s="895" t="s">
        <v>3245</v>
      </c>
      <c r="C12" s="869"/>
      <c r="D12" s="715">
        <f>SUM('main TB'!U208)</f>
        <v>12612.980000000003</v>
      </c>
      <c r="E12" s="869"/>
      <c r="F12" s="869"/>
      <c r="G12" s="869"/>
      <c r="H12" s="715">
        <f>'main TB'!M208</f>
        <v>11545.68</v>
      </c>
      <c r="I12" s="883"/>
      <c r="L12" s="867"/>
    </row>
    <row r="13" spans="1:12" ht="15">
      <c r="A13" s="875"/>
      <c r="B13" s="1167" t="s">
        <v>3703</v>
      </c>
      <c r="C13" s="869"/>
      <c r="D13" s="715">
        <v>834954.6</v>
      </c>
      <c r="E13" s="869"/>
      <c r="F13" s="869"/>
      <c r="G13" s="869"/>
      <c r="H13" s="715">
        <f>-'main TB'!M217</f>
        <v>0</v>
      </c>
      <c r="I13" s="883"/>
      <c r="J13" s="928"/>
      <c r="K13" s="928"/>
      <c r="L13" s="867"/>
    </row>
    <row r="14" spans="1:12">
      <c r="A14" s="875"/>
      <c r="B14" s="895" t="s">
        <v>3246</v>
      </c>
      <c r="C14" s="869"/>
      <c r="D14" s="715">
        <f>SUM('main TB'!U212)</f>
        <v>1530387.8199999966</v>
      </c>
      <c r="E14" s="869"/>
      <c r="F14" s="869"/>
      <c r="G14" s="869"/>
      <c r="H14" s="715">
        <f>'main TB'!M212</f>
        <v>3122632.29</v>
      </c>
      <c r="I14" s="883"/>
      <c r="K14" s="915">
        <f>139841.8-1758</f>
        <v>138083.79999999999</v>
      </c>
      <c r="L14" s="867"/>
    </row>
    <row r="15" spans="1:12">
      <c r="A15" s="875"/>
      <c r="B15" s="895" t="s">
        <v>713</v>
      </c>
      <c r="C15" s="869"/>
      <c r="D15" s="894">
        <f>SUM('main TB'!U209+'main TB'!U210+'main TB'!U213+'main TB'!U214+'main TB'!U215)</f>
        <v>135286.39999999999</v>
      </c>
      <c r="E15" s="869"/>
      <c r="F15" s="869"/>
      <c r="G15" s="869"/>
      <c r="H15" s="894">
        <f>'main TB'!M209+'main TB'!M210+'main TB'!M213+'main TB'!M214+'main TB'!M215</f>
        <v>138084.28999999998</v>
      </c>
      <c r="I15" s="883"/>
      <c r="L15" s="867"/>
    </row>
    <row r="16" spans="1:12">
      <c r="A16" s="875"/>
      <c r="B16" s="885" t="s">
        <v>662</v>
      </c>
      <c r="C16" s="869"/>
      <c r="D16" s="891">
        <f>SUM(D9:D15)</f>
        <v>5339992.6199999973</v>
      </c>
      <c r="E16" s="869"/>
      <c r="F16" s="869"/>
      <c r="G16" s="869"/>
      <c r="H16" s="891">
        <f>SUM(H9:H15)</f>
        <v>3887640.64</v>
      </c>
      <c r="I16" s="883"/>
      <c r="K16" s="915">
        <f>'main TB'!M219+'main TB'!M203+'main TB'!M202</f>
        <v>3887640.6399999997</v>
      </c>
      <c r="L16" s="929">
        <f>H16-K16</f>
        <v>0</v>
      </c>
    </row>
    <row r="17" spans="1:12">
      <c r="A17" s="875"/>
      <c r="B17" s="885" t="s">
        <v>3526</v>
      </c>
      <c r="C17" s="869"/>
      <c r="D17" s="891"/>
      <c r="E17" s="869"/>
      <c r="F17" s="869"/>
      <c r="G17" s="869"/>
      <c r="H17" s="891"/>
      <c r="I17" s="883"/>
      <c r="L17" s="867"/>
    </row>
    <row r="18" spans="1:12">
      <c r="A18" s="875"/>
      <c r="B18" s="869"/>
      <c r="C18" s="869"/>
      <c r="D18" s="870"/>
      <c r="E18" s="869"/>
      <c r="F18" s="869"/>
      <c r="G18" s="869"/>
      <c r="H18" s="870"/>
      <c r="I18" s="883"/>
      <c r="K18" s="915">
        <f>'main TB'!U219+'main TB'!U202+'main TB'!U203</f>
        <v>5339992.6199999964</v>
      </c>
      <c r="L18" s="929">
        <f>D16-K18</f>
        <v>0</v>
      </c>
    </row>
    <row r="19" spans="1:12" s="924" customFormat="1" ht="27.75" customHeight="1">
      <c r="A19" s="922"/>
      <c r="B19" s="901" t="s">
        <v>663</v>
      </c>
      <c r="C19" s="901"/>
      <c r="D19" s="901"/>
      <c r="E19" s="901"/>
      <c r="F19" s="901"/>
      <c r="G19" s="901"/>
      <c r="H19" s="930"/>
      <c r="I19" s="931"/>
      <c r="K19" s="932"/>
    </row>
    <row r="20" spans="1:12">
      <c r="A20" s="902"/>
      <c r="B20" s="903"/>
      <c r="C20" s="903"/>
      <c r="D20" s="904"/>
      <c r="E20" s="903"/>
      <c r="F20" s="903"/>
      <c r="G20" s="903"/>
      <c r="H20" s="904"/>
      <c r="I20" s="905"/>
    </row>
    <row r="21" spans="1:12" ht="15">
      <c r="A21" s="871"/>
      <c r="B21" s="933"/>
      <c r="C21" s="872"/>
      <c r="D21" s="934"/>
      <c r="E21" s="872"/>
      <c r="F21" s="872"/>
      <c r="G21" s="872"/>
      <c r="H21" s="935"/>
      <c r="I21" s="874"/>
    </row>
    <row r="22" spans="1:12" ht="15">
      <c r="A22" s="936"/>
      <c r="B22" s="937"/>
      <c r="C22" s="869"/>
      <c r="D22" s="921" t="s">
        <v>2241</v>
      </c>
      <c r="E22" s="869"/>
      <c r="F22" s="869"/>
      <c r="G22" s="869"/>
      <c r="H22" s="877" t="s">
        <v>3558</v>
      </c>
      <c r="I22" s="883"/>
    </row>
    <row r="23" spans="1:12" ht="15">
      <c r="A23" s="884" t="s">
        <v>2391</v>
      </c>
      <c r="B23" s="937" t="s">
        <v>3439</v>
      </c>
      <c r="C23" s="869"/>
      <c r="D23" s="938"/>
      <c r="E23" s="869"/>
      <c r="F23" s="869"/>
      <c r="G23" s="869"/>
      <c r="H23" s="939"/>
      <c r="I23" s="883"/>
    </row>
    <row r="24" spans="1:12" ht="15">
      <c r="A24" s="875"/>
      <c r="B24" s="937"/>
      <c r="C24" s="869"/>
      <c r="D24" s="938"/>
      <c r="E24" s="869"/>
      <c r="F24" s="869"/>
      <c r="G24" s="869"/>
      <c r="H24" s="939"/>
      <c r="I24" s="883"/>
    </row>
    <row r="25" spans="1:12" ht="15">
      <c r="A25" s="936"/>
      <c r="B25" s="937" t="s">
        <v>664</v>
      </c>
      <c r="C25" s="869"/>
      <c r="D25" s="938"/>
      <c r="E25" s="869"/>
      <c r="F25" s="869"/>
      <c r="G25" s="869"/>
      <c r="H25" s="939"/>
      <c r="I25" s="883"/>
    </row>
    <row r="26" spans="1:12" ht="15">
      <c r="A26" s="875"/>
      <c r="B26" s="937" t="s">
        <v>622</v>
      </c>
      <c r="C26" s="869"/>
      <c r="D26" s="938"/>
      <c r="E26" s="869"/>
      <c r="F26" s="869"/>
      <c r="G26" s="869"/>
      <c r="H26" s="939"/>
      <c r="I26" s="883"/>
    </row>
    <row r="27" spans="1:12" ht="15">
      <c r="A27" s="875"/>
      <c r="B27" s="937" t="s">
        <v>623</v>
      </c>
      <c r="C27" s="869"/>
      <c r="D27" s="938"/>
      <c r="E27" s="869"/>
      <c r="F27" s="869"/>
      <c r="G27" s="869"/>
      <c r="H27" s="939"/>
      <c r="I27" s="883"/>
    </row>
    <row r="28" spans="1:12" ht="15">
      <c r="A28" s="875"/>
      <c r="B28" s="937" t="s">
        <v>624</v>
      </c>
      <c r="C28" s="869"/>
      <c r="D28" s="938"/>
      <c r="E28" s="869"/>
      <c r="F28" s="869"/>
      <c r="G28" s="869"/>
      <c r="H28" s="939"/>
      <c r="I28" s="883"/>
    </row>
    <row r="29" spans="1:12" ht="15">
      <c r="A29" s="875"/>
      <c r="B29" s="937" t="s">
        <v>3145</v>
      </c>
      <c r="C29" s="869"/>
      <c r="D29" s="938"/>
      <c r="E29" s="869"/>
      <c r="F29" s="869"/>
      <c r="G29" s="869"/>
      <c r="H29" s="939"/>
      <c r="I29" s="883"/>
    </row>
    <row r="30" spans="1:12" ht="15">
      <c r="A30" s="875"/>
      <c r="B30" s="937" t="s">
        <v>3146</v>
      </c>
      <c r="C30" s="869"/>
      <c r="D30" s="938">
        <f>+H35</f>
        <v>1018505.1000000001</v>
      </c>
      <c r="E30" s="869"/>
      <c r="F30" s="869"/>
      <c r="G30" s="869"/>
      <c r="H30" s="939">
        <v>3286491.95</v>
      </c>
      <c r="I30" s="883"/>
    </row>
    <row r="31" spans="1:12" ht="15">
      <c r="A31" s="875"/>
      <c r="B31" s="937" t="s">
        <v>3147</v>
      </c>
      <c r="C31" s="869"/>
      <c r="D31" s="938">
        <v>2477950.92</v>
      </c>
      <c r="E31" s="869"/>
      <c r="F31" s="869"/>
      <c r="G31" s="869"/>
      <c r="H31" s="939">
        <v>2642823.69</v>
      </c>
      <c r="I31" s="883"/>
    </row>
    <row r="32" spans="1:12" ht="15">
      <c r="A32" s="875"/>
      <c r="B32" s="937"/>
      <c r="C32" s="869"/>
      <c r="D32" s="938"/>
      <c r="E32" s="869"/>
      <c r="F32" s="869"/>
      <c r="G32" s="869"/>
      <c r="H32" s="939"/>
      <c r="I32" s="883"/>
    </row>
    <row r="33" spans="1:12" ht="15">
      <c r="A33" s="875"/>
      <c r="B33" s="937" t="s">
        <v>3148</v>
      </c>
      <c r="C33" s="869"/>
      <c r="D33" s="938">
        <v>1018505.1</v>
      </c>
      <c r="E33" s="869"/>
      <c r="F33" s="869"/>
      <c r="G33" s="869"/>
      <c r="H33" s="939">
        <v>229323.55</v>
      </c>
      <c r="I33" s="883"/>
    </row>
    <row r="34" spans="1:12" ht="15.75" thickBot="1">
      <c r="A34" s="875"/>
      <c r="B34" s="937" t="s">
        <v>3149</v>
      </c>
      <c r="C34" s="869"/>
      <c r="D34" s="938">
        <v>-302371.73</v>
      </c>
      <c r="E34" s="869"/>
      <c r="F34" s="869"/>
      <c r="G34" s="869"/>
      <c r="H34" s="939">
        <v>789181.55</v>
      </c>
      <c r="I34" s="883"/>
    </row>
    <row r="35" spans="1:12" ht="17.25" thickTop="1" thickBot="1">
      <c r="A35" s="875"/>
      <c r="B35" s="937" t="s">
        <v>3150</v>
      </c>
      <c r="C35" s="869"/>
      <c r="D35" s="940">
        <f>SUM(D33:D34)</f>
        <v>716133.37</v>
      </c>
      <c r="E35" s="869"/>
      <c r="F35" s="869"/>
      <c r="G35" s="869"/>
      <c r="H35" s="941">
        <f>SUM(H33:H34)</f>
        <v>1018505.1000000001</v>
      </c>
      <c r="I35" s="883"/>
    </row>
    <row r="36" spans="1:12" s="890" customFormat="1" ht="15.75" thickTop="1">
      <c r="A36" s="875"/>
      <c r="B36" s="937"/>
      <c r="C36" s="869"/>
      <c r="D36" s="938"/>
      <c r="E36" s="869"/>
      <c r="F36" s="869"/>
      <c r="G36" s="869"/>
      <c r="H36" s="939" t="s">
        <v>55</v>
      </c>
      <c r="I36" s="883"/>
      <c r="K36" s="926"/>
      <c r="L36" s="926"/>
    </row>
    <row r="37" spans="1:12" ht="15">
      <c r="A37" s="875"/>
      <c r="B37" s="937"/>
      <c r="C37" s="869"/>
      <c r="D37" s="938"/>
      <c r="E37" s="869"/>
      <c r="F37" s="869"/>
      <c r="G37" s="869"/>
      <c r="H37" s="939"/>
      <c r="I37" s="883"/>
    </row>
    <row r="38" spans="1:12" ht="15">
      <c r="A38" s="875"/>
      <c r="B38" s="937" t="s">
        <v>664</v>
      </c>
      <c r="C38" s="869"/>
      <c r="D38" s="938"/>
      <c r="E38" s="869"/>
      <c r="F38" s="869"/>
      <c r="G38" s="869"/>
      <c r="H38" s="939"/>
      <c r="I38" s="883"/>
    </row>
    <row r="39" spans="1:12" ht="15">
      <c r="A39" s="875"/>
      <c r="B39" s="937" t="s">
        <v>622</v>
      </c>
      <c r="C39" s="869"/>
      <c r="D39" s="938"/>
      <c r="E39" s="869"/>
      <c r="F39" s="869"/>
      <c r="G39" s="869"/>
      <c r="H39" s="939"/>
      <c r="I39" s="883"/>
    </row>
    <row r="40" spans="1:12" ht="15">
      <c r="A40" s="875"/>
      <c r="B40" s="937" t="s">
        <v>625</v>
      </c>
      <c r="C40" s="869"/>
      <c r="D40" s="938"/>
      <c r="E40" s="869"/>
      <c r="F40" s="869"/>
      <c r="G40" s="869"/>
      <c r="H40" s="939"/>
      <c r="I40" s="883"/>
    </row>
    <row r="41" spans="1:12" ht="15">
      <c r="A41" s="875"/>
      <c r="B41" s="937" t="s">
        <v>624</v>
      </c>
      <c r="C41" s="869"/>
      <c r="D41" s="938"/>
      <c r="E41" s="869"/>
      <c r="F41" s="869"/>
      <c r="G41" s="869"/>
      <c r="H41" s="939"/>
      <c r="I41" s="883"/>
    </row>
    <row r="42" spans="1:12" s="890" customFormat="1" ht="15">
      <c r="A42" s="875"/>
      <c r="B42" s="937" t="s">
        <v>3230</v>
      </c>
      <c r="C42" s="869"/>
      <c r="D42" s="938"/>
      <c r="E42" s="869"/>
      <c r="F42" s="869"/>
      <c r="G42" s="869"/>
      <c r="H42" s="939"/>
      <c r="I42" s="883"/>
      <c r="K42" s="926"/>
      <c r="L42" s="926"/>
    </row>
    <row r="43" spans="1:12" ht="15">
      <c r="A43" s="875"/>
      <c r="B43" s="937" t="s">
        <v>3146</v>
      </c>
      <c r="C43" s="869"/>
      <c r="D43" s="938">
        <f>+H48</f>
        <v>96485.68</v>
      </c>
      <c r="E43" s="869"/>
      <c r="F43" s="869"/>
      <c r="G43" s="869"/>
      <c r="H43" s="939"/>
      <c r="I43" s="883"/>
    </row>
    <row r="44" spans="1:12" s="924" customFormat="1" ht="27.75" customHeight="1">
      <c r="A44" s="922"/>
      <c r="B44" s="937" t="s">
        <v>3147</v>
      </c>
      <c r="C44" s="869"/>
      <c r="D44" s="938">
        <v>102399.66</v>
      </c>
      <c r="E44" s="869"/>
      <c r="F44" s="869"/>
      <c r="G44" s="869"/>
      <c r="H44" s="939">
        <v>96485.68</v>
      </c>
      <c r="I44" s="883"/>
      <c r="K44" s="932"/>
      <c r="L44" s="932"/>
    </row>
    <row r="45" spans="1:12" ht="15">
      <c r="A45" s="875"/>
      <c r="B45" s="937"/>
      <c r="C45" s="869"/>
      <c r="D45" s="938"/>
      <c r="E45" s="869"/>
      <c r="F45" s="869"/>
      <c r="G45" s="869"/>
      <c r="H45" s="939"/>
      <c r="I45" s="883"/>
    </row>
    <row r="46" spans="1:12" ht="15">
      <c r="A46" s="942"/>
      <c r="B46" s="937" t="s">
        <v>3148</v>
      </c>
      <c r="C46" s="869"/>
      <c r="D46" s="938">
        <v>96485.68</v>
      </c>
      <c r="E46" s="869"/>
      <c r="F46" s="869"/>
      <c r="G46" s="869"/>
      <c r="H46" s="939"/>
      <c r="I46" s="883"/>
    </row>
    <row r="47" spans="1:12" ht="15.75" thickBot="1">
      <c r="A47" s="942"/>
      <c r="B47" s="937" t="s">
        <v>3149</v>
      </c>
      <c r="C47" s="869"/>
      <c r="D47" s="938">
        <v>5895.27</v>
      </c>
      <c r="E47" s="869"/>
      <c r="F47" s="869"/>
      <c r="G47" s="869"/>
      <c r="H47" s="939"/>
      <c r="I47" s="883"/>
    </row>
    <row r="48" spans="1:12" ht="17.25" thickTop="1" thickBot="1">
      <c r="A48" s="942"/>
      <c r="B48" s="937" t="s">
        <v>3150</v>
      </c>
      <c r="C48" s="869"/>
      <c r="D48" s="940">
        <f>SUM(D46:D47)</f>
        <v>102380.95</v>
      </c>
      <c r="E48" s="869"/>
      <c r="F48" s="869"/>
      <c r="G48" s="869"/>
      <c r="H48" s="941">
        <v>96485.68</v>
      </c>
      <c r="I48" s="883"/>
    </row>
    <row r="49" spans="1:9" ht="15.75" thickTop="1">
      <c r="A49" s="942"/>
      <c r="B49" s="937"/>
      <c r="C49" s="869"/>
      <c r="D49" s="938"/>
      <c r="E49" s="869"/>
      <c r="F49" s="869"/>
      <c r="G49" s="869"/>
      <c r="H49" s="939"/>
      <c r="I49" s="883"/>
    </row>
    <row r="50" spans="1:9" ht="15">
      <c r="A50" s="943"/>
      <c r="B50" s="944"/>
      <c r="C50" s="903"/>
      <c r="D50" s="945" t="s">
        <v>55</v>
      </c>
      <c r="E50" s="903"/>
      <c r="F50" s="903"/>
      <c r="G50" s="903"/>
      <c r="H50" s="946"/>
      <c r="I50" s="905"/>
    </row>
    <row r="51" spans="1:9" ht="15">
      <c r="A51" s="947"/>
      <c r="B51" s="933" t="s">
        <v>664</v>
      </c>
      <c r="C51" s="872"/>
      <c r="D51" s="934"/>
      <c r="E51" s="872"/>
      <c r="F51" s="872"/>
      <c r="G51" s="872"/>
      <c r="H51" s="935"/>
      <c r="I51" s="874"/>
    </row>
    <row r="52" spans="1:9" ht="15">
      <c r="A52" s="942"/>
      <c r="B52" s="937" t="s">
        <v>622</v>
      </c>
      <c r="C52" s="869"/>
      <c r="D52" s="938"/>
      <c r="E52" s="869"/>
      <c r="F52" s="869"/>
      <c r="G52" s="869"/>
      <c r="H52" s="939"/>
      <c r="I52" s="883"/>
    </row>
    <row r="53" spans="1:9" ht="15">
      <c r="A53" s="942"/>
      <c r="B53" s="937" t="s">
        <v>3231</v>
      </c>
      <c r="C53" s="869"/>
      <c r="D53" s="938"/>
      <c r="E53" s="869"/>
      <c r="F53" s="869"/>
      <c r="G53" s="869"/>
      <c r="H53" s="939"/>
      <c r="I53" s="883"/>
    </row>
    <row r="54" spans="1:9" ht="15">
      <c r="A54" s="942"/>
      <c r="B54" s="937" t="s">
        <v>624</v>
      </c>
      <c r="C54" s="869"/>
      <c r="D54" s="938"/>
      <c r="E54" s="869"/>
      <c r="F54" s="869"/>
      <c r="G54" s="869"/>
      <c r="H54" s="939"/>
      <c r="I54" s="883"/>
    </row>
    <row r="55" spans="1:9" ht="15">
      <c r="A55" s="942"/>
      <c r="B55" s="937" t="s">
        <v>3232</v>
      </c>
      <c r="C55" s="869"/>
      <c r="D55" s="938"/>
      <c r="E55" s="869"/>
      <c r="F55" s="869"/>
      <c r="G55" s="869"/>
      <c r="H55" s="939"/>
      <c r="I55" s="883"/>
    </row>
    <row r="56" spans="1:9" ht="15">
      <c r="A56" s="942"/>
      <c r="B56" s="937" t="s">
        <v>3146</v>
      </c>
      <c r="C56" s="869"/>
      <c r="D56" s="938">
        <f>+H61</f>
        <v>848679</v>
      </c>
      <c r="E56" s="869"/>
      <c r="F56" s="869"/>
      <c r="G56" s="869"/>
      <c r="H56" s="939"/>
      <c r="I56" s="883"/>
    </row>
    <row r="57" spans="1:9" ht="15">
      <c r="A57" s="942"/>
      <c r="B57" s="937" t="s">
        <v>3147</v>
      </c>
      <c r="C57" s="869"/>
      <c r="D57" s="938">
        <v>924561.69</v>
      </c>
      <c r="E57" s="869"/>
      <c r="F57" s="869"/>
      <c r="G57" s="869"/>
      <c r="H57" s="939">
        <v>848679</v>
      </c>
      <c r="I57" s="883"/>
    </row>
    <row r="58" spans="1:9" ht="15">
      <c r="A58" s="942"/>
      <c r="B58" s="937"/>
      <c r="C58" s="869"/>
      <c r="D58" s="938"/>
      <c r="E58" s="869"/>
      <c r="F58" s="869"/>
      <c r="G58" s="869"/>
      <c r="H58" s="939"/>
      <c r="I58" s="883"/>
    </row>
    <row r="59" spans="1:9" ht="15">
      <c r="A59" s="942"/>
      <c r="B59" s="937" t="s">
        <v>3148</v>
      </c>
      <c r="C59" s="869"/>
      <c r="D59" s="938">
        <v>848678.57</v>
      </c>
      <c r="E59" s="869"/>
      <c r="F59" s="869"/>
      <c r="G59" s="869"/>
      <c r="H59" s="939"/>
      <c r="I59" s="883"/>
    </row>
    <row r="60" spans="1:9" ht="15.75" thickBot="1">
      <c r="A60" s="942"/>
      <c r="B60" s="937" t="s">
        <v>3149</v>
      </c>
      <c r="C60" s="869"/>
      <c r="D60" s="938">
        <v>75835.28</v>
      </c>
      <c r="E60" s="869"/>
      <c r="F60" s="869"/>
      <c r="G60" s="869"/>
      <c r="H60" s="939"/>
      <c r="I60" s="883"/>
    </row>
    <row r="61" spans="1:9" ht="17.25" thickTop="1" thickBot="1">
      <c r="A61" s="942"/>
      <c r="B61" s="937" t="s">
        <v>3150</v>
      </c>
      <c r="C61" s="869"/>
      <c r="D61" s="940">
        <f>SUM(D59:D60)</f>
        <v>924513.85</v>
      </c>
      <c r="E61" s="869"/>
      <c r="F61" s="869"/>
      <c r="G61" s="869"/>
      <c r="H61" s="941">
        <v>848679</v>
      </c>
      <c r="I61" s="883"/>
    </row>
    <row r="62" spans="1:9" ht="15.75" thickTop="1">
      <c r="A62" s="942"/>
      <c r="B62" s="937"/>
      <c r="C62" s="869"/>
      <c r="D62" s="938"/>
      <c r="E62" s="869"/>
      <c r="F62" s="869"/>
      <c r="G62" s="869"/>
      <c r="H62" s="939"/>
      <c r="I62" s="883"/>
    </row>
    <row r="63" spans="1:9" ht="15">
      <c r="A63" s="942"/>
      <c r="B63" s="937"/>
      <c r="C63" s="869"/>
      <c r="D63" s="938"/>
      <c r="E63" s="869"/>
      <c r="F63" s="869"/>
      <c r="G63" s="869"/>
      <c r="H63" s="939"/>
      <c r="I63" s="883"/>
    </row>
    <row r="64" spans="1:9" ht="15">
      <c r="A64" s="942"/>
      <c r="B64" s="937" t="s">
        <v>664</v>
      </c>
      <c r="C64" s="869"/>
      <c r="D64" s="938"/>
      <c r="E64" s="869"/>
      <c r="F64" s="869"/>
      <c r="G64" s="869"/>
      <c r="H64" s="939"/>
      <c r="I64" s="883"/>
    </row>
    <row r="65" spans="1:9" ht="15">
      <c r="A65" s="942"/>
      <c r="B65" s="937" t="s">
        <v>622</v>
      </c>
      <c r="C65" s="869"/>
      <c r="D65" s="938"/>
      <c r="E65" s="869"/>
      <c r="F65" s="869"/>
      <c r="G65" s="869"/>
      <c r="H65" s="939"/>
      <c r="I65" s="883"/>
    </row>
    <row r="66" spans="1:9" ht="15">
      <c r="A66" s="942"/>
      <c r="B66" s="948" t="s">
        <v>3233</v>
      </c>
      <c r="C66" s="869"/>
      <c r="D66" s="938"/>
      <c r="E66" s="869"/>
      <c r="F66" s="869"/>
      <c r="G66" s="869"/>
      <c r="H66" s="939"/>
      <c r="I66" s="883"/>
    </row>
    <row r="67" spans="1:9" ht="15">
      <c r="A67" s="942"/>
      <c r="B67" s="937" t="s">
        <v>624</v>
      </c>
      <c r="C67" s="869"/>
      <c r="D67" s="938"/>
      <c r="E67" s="869"/>
      <c r="F67" s="869"/>
      <c r="G67" s="869"/>
      <c r="H67" s="939"/>
      <c r="I67" s="883"/>
    </row>
    <row r="68" spans="1:9" ht="15">
      <c r="A68" s="942"/>
      <c r="B68" s="948" t="s">
        <v>3234</v>
      </c>
      <c r="C68" s="869"/>
      <c r="D68" s="938"/>
      <c r="E68" s="869"/>
      <c r="F68" s="869"/>
      <c r="G68" s="869"/>
      <c r="H68" s="939"/>
      <c r="I68" s="883"/>
    </row>
    <row r="69" spans="1:9" ht="15">
      <c r="A69" s="942"/>
      <c r="B69" s="937" t="s">
        <v>3146</v>
      </c>
      <c r="C69" s="869"/>
      <c r="D69" s="938">
        <f>+H74</f>
        <v>279976</v>
      </c>
      <c r="E69" s="869"/>
      <c r="F69" s="869"/>
      <c r="G69" s="869"/>
      <c r="H69" s="939"/>
      <c r="I69" s="883"/>
    </row>
    <row r="70" spans="1:9" ht="15">
      <c r="A70" s="942"/>
      <c r="B70" s="937" t="s">
        <v>3147</v>
      </c>
      <c r="C70" s="869"/>
      <c r="D70" s="938">
        <v>4241.8500000000004</v>
      </c>
      <c r="E70" s="869"/>
      <c r="F70" s="869"/>
      <c r="G70" s="869"/>
      <c r="H70" s="939">
        <v>279976</v>
      </c>
      <c r="I70" s="883"/>
    </row>
    <row r="71" spans="1:9" ht="15">
      <c r="A71" s="942"/>
      <c r="B71" s="937"/>
      <c r="C71" s="869"/>
      <c r="D71" s="938"/>
      <c r="E71" s="869"/>
      <c r="F71" s="869"/>
      <c r="G71" s="869"/>
      <c r="H71" s="939"/>
      <c r="I71" s="883"/>
    </row>
    <row r="72" spans="1:9" ht="15">
      <c r="A72" s="942"/>
      <c r="B72" s="937" t="s">
        <v>3148</v>
      </c>
      <c r="C72" s="869"/>
      <c r="D72" s="938">
        <v>279976.38</v>
      </c>
      <c r="E72" s="869"/>
      <c r="F72" s="869"/>
      <c r="G72" s="869"/>
      <c r="H72" s="949"/>
      <c r="I72" s="883"/>
    </row>
    <row r="73" spans="1:9" ht="15.75" thickBot="1">
      <c r="A73" s="942"/>
      <c r="B73" s="937" t="s">
        <v>3149</v>
      </c>
      <c r="C73" s="869"/>
      <c r="D73" s="938">
        <v>-275735.15000000002</v>
      </c>
      <c r="E73" s="869"/>
      <c r="F73" s="869"/>
      <c r="G73" s="869"/>
      <c r="H73" s="939"/>
      <c r="I73" s="883"/>
    </row>
    <row r="74" spans="1:9" ht="17.25" thickTop="1" thickBot="1">
      <c r="A74" s="942"/>
      <c r="B74" s="937" t="s">
        <v>3150</v>
      </c>
      <c r="C74" s="869"/>
      <c r="D74" s="940">
        <f>SUM(D72:D73)</f>
        <v>4241.2299999999814</v>
      </c>
      <c r="E74" s="869"/>
      <c r="F74" s="869"/>
      <c r="G74" s="869"/>
      <c r="H74" s="941">
        <f>SUM(H70:H73)</f>
        <v>279976</v>
      </c>
      <c r="I74" s="883"/>
    </row>
    <row r="75" spans="1:9" ht="15.75" thickTop="1">
      <c r="A75" s="942"/>
      <c r="B75" s="937"/>
      <c r="C75" s="869"/>
      <c r="D75" s="938"/>
      <c r="E75" s="869"/>
      <c r="F75" s="869"/>
      <c r="G75" s="869"/>
      <c r="H75" s="939"/>
      <c r="I75" s="883"/>
    </row>
    <row r="76" spans="1:9" ht="15">
      <c r="A76" s="942"/>
      <c r="B76" s="937" t="s">
        <v>664</v>
      </c>
      <c r="C76" s="869"/>
      <c r="D76" s="937"/>
      <c r="E76" s="869"/>
      <c r="F76" s="869"/>
      <c r="G76" s="869"/>
      <c r="H76" s="939"/>
      <c r="I76" s="883"/>
    </row>
    <row r="77" spans="1:9" ht="15">
      <c r="A77" s="942"/>
      <c r="B77" s="937" t="s">
        <v>622</v>
      </c>
      <c r="C77" s="869"/>
      <c r="D77" s="937"/>
      <c r="E77" s="869"/>
      <c r="F77" s="869"/>
      <c r="G77" s="869"/>
      <c r="H77" s="939"/>
      <c r="I77" s="883"/>
    </row>
    <row r="78" spans="1:9" ht="15">
      <c r="A78" s="942"/>
      <c r="B78" s="948" t="s">
        <v>3235</v>
      </c>
      <c r="C78" s="869"/>
      <c r="D78" s="937"/>
      <c r="E78" s="869"/>
      <c r="F78" s="869"/>
      <c r="G78" s="869"/>
      <c r="H78" s="939"/>
      <c r="I78" s="883"/>
    </row>
    <row r="79" spans="1:9" ht="15">
      <c r="A79" s="942"/>
      <c r="B79" s="937" t="s">
        <v>624</v>
      </c>
      <c r="C79" s="869"/>
      <c r="D79" s="937"/>
      <c r="E79" s="869"/>
      <c r="F79" s="869"/>
      <c r="G79" s="869"/>
      <c r="H79" s="939"/>
      <c r="I79" s="883"/>
    </row>
    <row r="80" spans="1:9" ht="15">
      <c r="A80" s="942"/>
      <c r="B80" s="948" t="s">
        <v>3236</v>
      </c>
      <c r="C80" s="869"/>
      <c r="D80" s="937"/>
      <c r="E80" s="869"/>
      <c r="F80" s="869"/>
      <c r="G80" s="869"/>
      <c r="H80" s="939"/>
      <c r="I80" s="883"/>
    </row>
    <row r="81" spans="1:9" ht="15.75" thickBot="1">
      <c r="A81" s="942"/>
      <c r="B81" s="937" t="s">
        <v>3146</v>
      </c>
      <c r="C81" s="869"/>
      <c r="D81" s="937"/>
      <c r="E81" s="869"/>
      <c r="F81" s="869"/>
      <c r="G81" s="869"/>
      <c r="H81" s="939"/>
      <c r="I81" s="883"/>
    </row>
    <row r="82" spans="1:9" ht="17.25" thickTop="1" thickBot="1">
      <c r="A82" s="942"/>
      <c r="B82" s="937" t="s">
        <v>3147</v>
      </c>
      <c r="C82" s="869"/>
      <c r="D82" s="940">
        <v>2348578.0699999998</v>
      </c>
      <c r="E82" s="869"/>
      <c r="F82" s="869"/>
      <c r="G82" s="869"/>
      <c r="H82" s="939"/>
      <c r="I82" s="883"/>
    </row>
    <row r="83" spans="1:9" ht="15.75" thickTop="1">
      <c r="A83" s="942"/>
      <c r="B83" s="937"/>
      <c r="C83" s="869"/>
      <c r="D83" s="938"/>
      <c r="E83" s="869"/>
      <c r="F83" s="869"/>
      <c r="G83" s="869"/>
      <c r="H83" s="939"/>
      <c r="I83" s="883"/>
    </row>
    <row r="84" spans="1:9" ht="15">
      <c r="A84" s="942"/>
      <c r="B84" s="937" t="s">
        <v>3148</v>
      </c>
      <c r="C84" s="869"/>
      <c r="D84" s="938"/>
      <c r="E84" s="869"/>
      <c r="F84" s="869"/>
      <c r="G84" s="869"/>
      <c r="H84" s="939"/>
      <c r="I84" s="883"/>
    </row>
    <row r="85" spans="1:9" ht="15.75" thickBot="1">
      <c r="A85" s="942"/>
      <c r="B85" s="937" t="s">
        <v>3149</v>
      </c>
      <c r="C85" s="869"/>
      <c r="D85" s="1144">
        <f>+H86</f>
        <v>2243645.7800000003</v>
      </c>
      <c r="E85" s="869"/>
      <c r="F85" s="869"/>
      <c r="G85" s="869"/>
      <c r="H85" s="939"/>
      <c r="I85" s="883"/>
    </row>
    <row r="86" spans="1:9" ht="17.25" thickTop="1" thickBot="1">
      <c r="A86" s="942"/>
      <c r="B86" s="937" t="s">
        <v>3150</v>
      </c>
      <c r="C86" s="869"/>
      <c r="D86" s="940">
        <f>+D35+D48+D61+D74+D82</f>
        <v>4095847.4699999997</v>
      </c>
      <c r="E86" s="869"/>
      <c r="F86" s="869"/>
      <c r="G86" s="869"/>
      <c r="H86" s="940">
        <f>+H35+H48+H61+H74+H82</f>
        <v>2243645.7800000003</v>
      </c>
      <c r="I86" s="883"/>
    </row>
    <row r="87" spans="1:9" ht="15.75" thickTop="1">
      <c r="A87" s="942"/>
      <c r="B87" s="937"/>
      <c r="C87" s="937"/>
      <c r="D87" s="937"/>
      <c r="E87" s="869"/>
      <c r="F87" s="869"/>
      <c r="G87" s="869"/>
      <c r="H87" s="870"/>
      <c r="I87" s="883"/>
    </row>
    <row r="88" spans="1:9" ht="25.5">
      <c r="A88" s="942"/>
      <c r="B88" s="901" t="s">
        <v>3151</v>
      </c>
      <c r="C88" s="869"/>
      <c r="D88" s="870"/>
      <c r="E88" s="869"/>
      <c r="F88" s="869"/>
      <c r="G88" s="869"/>
      <c r="H88" s="870"/>
      <c r="I88" s="883"/>
    </row>
    <row r="89" spans="1:9" ht="15">
      <c r="A89" s="943"/>
      <c r="B89" s="903"/>
      <c r="C89" s="903"/>
      <c r="D89" s="904"/>
      <c r="E89" s="903"/>
      <c r="F89" s="903"/>
      <c r="G89" s="903"/>
      <c r="H89" s="904"/>
      <c r="I89" s="905"/>
    </row>
    <row r="90" spans="1:9" ht="15">
      <c r="A90" s="928"/>
    </row>
    <row r="91" spans="1:9" ht="15">
      <c r="A91" s="928"/>
    </row>
    <row r="92" spans="1:9" ht="15">
      <c r="A92" s="928"/>
    </row>
    <row r="93" spans="1:9" ht="15">
      <c r="A93" s="928"/>
    </row>
    <row r="94" spans="1:9" ht="15">
      <c r="A94" s="928"/>
    </row>
    <row r="95" spans="1:9" ht="15">
      <c r="A95" s="928"/>
    </row>
    <row r="96" spans="1:9">
      <c r="A96" s="917" t="s">
        <v>55</v>
      </c>
    </row>
    <row r="97" spans="1:1" ht="15">
      <c r="A97" s="928"/>
    </row>
    <row r="98" spans="1:1" ht="15">
      <c r="A98" s="928"/>
    </row>
    <row r="99" spans="1:1" ht="15">
      <c r="A99" s="928"/>
    </row>
    <row r="100" spans="1:1" ht="15">
      <c r="A100" s="928"/>
    </row>
    <row r="101" spans="1:1" ht="15">
      <c r="A101" s="928"/>
    </row>
    <row r="102" spans="1:1" ht="15">
      <c r="A102" s="928"/>
    </row>
    <row r="103" spans="1:1" ht="15">
      <c r="A103" s="928"/>
    </row>
    <row r="104" spans="1:1" ht="15">
      <c r="A104" s="928"/>
    </row>
    <row r="105" spans="1:1" ht="15">
      <c r="A105" s="928"/>
    </row>
    <row r="106" spans="1:1" ht="15">
      <c r="A106" s="928"/>
    </row>
    <row r="107" spans="1:1" ht="15">
      <c r="A107" s="928"/>
    </row>
    <row r="108" spans="1:1" ht="15">
      <c r="A108" s="928"/>
    </row>
    <row r="109" spans="1:1" ht="15">
      <c r="A109" s="928"/>
    </row>
    <row r="110" spans="1:1" ht="15">
      <c r="A110" s="928"/>
    </row>
    <row r="111" spans="1:1" ht="15">
      <c r="A111" s="928"/>
    </row>
    <row r="112" spans="1:1" ht="15">
      <c r="A112" s="928"/>
    </row>
  </sheetData>
  <mergeCells count="2">
    <mergeCell ref="A1:I1"/>
    <mergeCell ref="A2:I2"/>
  </mergeCells>
  <phoneticPr fontId="0" type="noConversion"/>
  <printOptions horizontalCentered="1"/>
  <pageMargins left="0.6692913385826772" right="0.39370078740157483" top="0.98425196850393704" bottom="0.98425196850393704" header="0.51181102362204722" footer="0.51181102362204722"/>
  <pageSetup scale="87" fitToHeight="2" orientation="portrait" r:id="rId1"/>
  <headerFooter>
    <oddHeader>&amp;C FINANCIAL STATEMENTS: MUSINA LOCAL MUNICIPALITY</oddHeader>
    <oddFooter>&amp;RPage &amp;P</oddFooter>
  </headerFooter>
  <rowBreaks count="1" manualBreakCount="1">
    <brk id="50" max="8" man="1"/>
  </rowBreaks>
</worksheet>
</file>

<file path=xl/worksheets/sheet15.xml><?xml version="1.0" encoding="utf-8"?>
<worksheet xmlns="http://schemas.openxmlformats.org/spreadsheetml/2006/main" xmlns:r="http://schemas.openxmlformats.org/officeDocument/2006/relationships">
  <dimension ref="A1:Q441"/>
  <sheetViews>
    <sheetView view="pageBreakPreview" topLeftCell="A15" zoomScaleSheetLayoutView="100" workbookViewId="0">
      <selection activeCell="D33" sqref="D33"/>
    </sheetView>
  </sheetViews>
  <sheetFormatPr defaultRowHeight="12.75"/>
  <cols>
    <col min="1" max="1" width="3.5703125" style="1037" bestFit="1" customWidth="1"/>
    <col min="2" max="2" width="42.140625" style="1036" customWidth="1"/>
    <col min="3" max="3" width="2.28515625" style="1036" customWidth="1"/>
    <col min="4" max="4" width="20.5703125" style="1035" bestFit="1" customWidth="1"/>
    <col min="5" max="7" width="2.28515625" style="1036" customWidth="1"/>
    <col min="8" max="8" width="16.85546875" style="1035" bestFit="1" customWidth="1"/>
    <col min="9" max="9" width="2.28515625" style="1036" customWidth="1"/>
    <col min="10" max="10" width="14.42578125" style="1035" customWidth="1"/>
    <col min="11" max="11" width="13.5703125" style="1035" customWidth="1"/>
    <col min="12" max="12" width="13.5703125" style="1035" bestFit="1" customWidth="1"/>
    <col min="13" max="13" width="17.5703125" style="1035" customWidth="1"/>
    <col min="14" max="14" width="52.85546875" style="1036" bestFit="1" customWidth="1"/>
    <col min="15" max="15" width="17.140625" style="1036" bestFit="1" customWidth="1"/>
    <col min="16" max="16" width="15.85546875" style="1035" bestFit="1" customWidth="1"/>
    <col min="17" max="17" width="15.85546875" style="1036" bestFit="1" customWidth="1"/>
    <col min="18" max="16384" width="9.140625" style="1036"/>
  </cols>
  <sheetData>
    <row r="1" spans="1:9">
      <c r="A1" s="1352" t="s">
        <v>3477</v>
      </c>
      <c r="B1" s="1352"/>
      <c r="C1" s="1352"/>
      <c r="D1" s="1352"/>
      <c r="E1" s="1352"/>
      <c r="F1" s="1352"/>
      <c r="G1" s="1352"/>
      <c r="H1" s="1352"/>
      <c r="I1" s="1352"/>
    </row>
    <row r="2" spans="1:9">
      <c r="A2" s="1353" t="s">
        <v>3100</v>
      </c>
      <c r="B2" s="1353"/>
      <c r="C2" s="1353"/>
      <c r="D2" s="1353"/>
      <c r="E2" s="1353"/>
      <c r="F2" s="1353"/>
      <c r="G2" s="1353"/>
      <c r="H2" s="1353"/>
      <c r="I2" s="1353"/>
    </row>
    <row r="3" spans="1:9">
      <c r="F3" s="1038"/>
    </row>
    <row r="4" spans="1:9">
      <c r="F4" s="1038"/>
    </row>
    <row r="5" spans="1:9">
      <c r="A5" s="1039" t="s">
        <v>515</v>
      </c>
      <c r="B5" s="1040" t="s">
        <v>3152</v>
      </c>
      <c r="C5" s="1040"/>
      <c r="D5" s="1041"/>
      <c r="E5" s="1041"/>
      <c r="F5" s="1042"/>
      <c r="G5" s="1042"/>
      <c r="H5" s="1041"/>
      <c r="I5" s="1043"/>
    </row>
    <row r="6" spans="1:9">
      <c r="A6" s="1044"/>
      <c r="B6" s="1038"/>
      <c r="C6" s="1038"/>
      <c r="D6" s="1045"/>
      <c r="E6" s="1045"/>
      <c r="F6" s="1038"/>
      <c r="G6" s="1038"/>
      <c r="H6" s="1045"/>
      <c r="I6" s="1046"/>
    </row>
    <row r="7" spans="1:9">
      <c r="A7" s="1044"/>
      <c r="B7" s="1047" t="s">
        <v>1605</v>
      </c>
      <c r="C7" s="1047"/>
      <c r="D7" s="1045"/>
      <c r="E7" s="1045"/>
      <c r="F7" s="1045"/>
      <c r="G7" s="1038"/>
      <c r="H7" s="1045"/>
      <c r="I7" s="1046"/>
    </row>
    <row r="8" spans="1:9">
      <c r="A8" s="1044"/>
      <c r="B8" s="1038"/>
      <c r="C8" s="1038"/>
      <c r="D8" s="1045"/>
      <c r="E8" s="1045"/>
      <c r="F8" s="1038"/>
      <c r="G8" s="1038"/>
      <c r="H8" s="1045"/>
      <c r="I8" s="1046"/>
    </row>
    <row r="9" spans="1:9">
      <c r="A9" s="1044"/>
      <c r="B9" s="1038"/>
      <c r="C9" s="1038"/>
      <c r="D9" s="1048" t="s">
        <v>3077</v>
      </c>
      <c r="E9" s="1049"/>
      <c r="F9" s="1038"/>
      <c r="G9" s="1046"/>
      <c r="H9" s="1050" t="s">
        <v>920</v>
      </c>
      <c r="I9" s="1046"/>
    </row>
    <row r="10" spans="1:9">
      <c r="A10" s="1044"/>
      <c r="B10" s="1051" t="s">
        <v>3153</v>
      </c>
      <c r="C10" s="1051"/>
      <c r="D10" s="1052">
        <f>-SUM('TRAIL BALANCE'!C2)</f>
        <v>3895935.53</v>
      </c>
      <c r="E10" s="1045"/>
      <c r="F10" s="1045"/>
      <c r="G10" s="1046"/>
      <c r="H10" s="1053">
        <v>6265210</v>
      </c>
      <c r="I10" s="1046"/>
    </row>
    <row r="11" spans="1:9">
      <c r="A11" s="1044"/>
      <c r="B11" s="1051" t="s">
        <v>2176</v>
      </c>
      <c r="C11" s="1051"/>
      <c r="D11" s="1054">
        <f>-SUM('TRAIL BALANCE'!C5)</f>
        <v>1192909.3799999999</v>
      </c>
      <c r="E11" s="1045"/>
      <c r="F11" s="1038"/>
      <c r="G11" s="1046"/>
      <c r="H11" s="1055"/>
      <c r="I11" s="1046"/>
    </row>
    <row r="12" spans="1:9">
      <c r="A12" s="1044"/>
      <c r="B12" s="1051" t="s">
        <v>3154</v>
      </c>
      <c r="C12" s="1051"/>
      <c r="D12" s="1054">
        <f>-SUM('TRAIL BALANCE'!C4)</f>
        <v>1432991.23</v>
      </c>
      <c r="E12" s="1045"/>
      <c r="F12" s="1045"/>
      <c r="G12" s="1046"/>
      <c r="H12" s="1055"/>
      <c r="I12" s="1046"/>
    </row>
    <row r="13" spans="1:9">
      <c r="A13" s="1044"/>
      <c r="B13" s="1051" t="s">
        <v>2177</v>
      </c>
      <c r="C13" s="1051"/>
      <c r="D13" s="1054">
        <f>-SUM('TRAIL BALANCE'!C3)</f>
        <v>316494.03000000003</v>
      </c>
      <c r="E13" s="1045"/>
      <c r="F13" s="1038"/>
      <c r="G13" s="1046"/>
      <c r="H13" s="1055"/>
      <c r="I13" s="1046"/>
    </row>
    <row r="14" spans="1:9">
      <c r="A14" s="1044"/>
      <c r="B14" s="1051" t="s">
        <v>3155</v>
      </c>
      <c r="C14" s="1051"/>
      <c r="D14" s="1054"/>
      <c r="E14" s="1045"/>
      <c r="F14" s="1045"/>
      <c r="G14" s="1046"/>
      <c r="H14" s="1055"/>
      <c r="I14" s="1046"/>
    </row>
    <row r="15" spans="1:9">
      <c r="A15" s="1044"/>
      <c r="B15" s="1047"/>
      <c r="C15" s="1047"/>
      <c r="D15" s="1056">
        <f>SUM(D10:D14)</f>
        <v>6838330.1700000009</v>
      </c>
      <c r="E15" s="1057"/>
      <c r="F15" s="1047"/>
      <c r="G15" s="1058"/>
      <c r="H15" s="1056">
        <f>SUM(H10:H14)</f>
        <v>6265210</v>
      </c>
      <c r="I15" s="1046"/>
    </row>
    <row r="16" spans="1:9">
      <c r="A16" s="1044"/>
      <c r="B16" s="1047"/>
      <c r="C16" s="1047"/>
      <c r="D16" s="1059"/>
      <c r="E16" s="1059"/>
      <c r="F16" s="1047"/>
      <c r="G16" s="1047"/>
      <c r="H16" s="1059"/>
      <c r="I16" s="1046"/>
    </row>
    <row r="17" spans="1:9">
      <c r="A17" s="1044"/>
      <c r="B17" s="1047" t="s">
        <v>3157</v>
      </c>
      <c r="C17" s="1047"/>
      <c r="D17" s="1045"/>
      <c r="E17" s="1045"/>
      <c r="F17" s="1038"/>
      <c r="G17" s="1038"/>
      <c r="H17" s="1045"/>
      <c r="I17" s="1046"/>
    </row>
    <row r="18" spans="1:9">
      <c r="A18" s="1044"/>
      <c r="B18" s="1038"/>
      <c r="C18" s="1038"/>
      <c r="D18" s="1045"/>
      <c r="E18" s="1045"/>
      <c r="F18" s="1045"/>
      <c r="G18" s="1038"/>
      <c r="H18" s="1045"/>
      <c r="I18" s="1046"/>
    </row>
    <row r="19" spans="1:9">
      <c r="A19" s="1044"/>
      <c r="B19" s="1038"/>
      <c r="C19" s="1038"/>
      <c r="D19" s="1048" t="s">
        <v>3077</v>
      </c>
      <c r="E19" s="1049"/>
      <c r="F19" s="1045"/>
      <c r="G19" s="1046"/>
      <c r="H19" s="1050" t="s">
        <v>920</v>
      </c>
      <c r="I19" s="1046"/>
    </row>
    <row r="20" spans="1:9">
      <c r="A20" s="1044"/>
      <c r="B20" s="1051" t="s">
        <v>3153</v>
      </c>
      <c r="C20" s="1051"/>
      <c r="D20" s="1052">
        <v>619954200</v>
      </c>
      <c r="E20" s="1045"/>
      <c r="F20" s="1038"/>
      <c r="G20" s="1046"/>
      <c r="H20" s="1053">
        <v>21069390</v>
      </c>
      <c r="I20" s="1046"/>
    </row>
    <row r="21" spans="1:9">
      <c r="A21" s="1044"/>
      <c r="B21" s="1051" t="s">
        <v>2812</v>
      </c>
      <c r="C21" s="1051"/>
      <c r="D21" s="1054">
        <v>157383000</v>
      </c>
      <c r="E21" s="1045"/>
      <c r="F21" s="1038"/>
      <c r="G21" s="1046"/>
      <c r="H21" s="1055">
        <v>11045800</v>
      </c>
      <c r="I21" s="1046"/>
    </row>
    <row r="22" spans="1:9">
      <c r="A22" s="1044"/>
      <c r="B22" s="1051" t="s">
        <v>2813</v>
      </c>
      <c r="C22" s="1051"/>
      <c r="D22" s="1054">
        <v>1060440</v>
      </c>
      <c r="E22" s="1045"/>
      <c r="F22" s="1038"/>
      <c r="G22" s="1046"/>
      <c r="H22" s="1055"/>
      <c r="I22" s="1046"/>
    </row>
    <row r="23" spans="1:9">
      <c r="A23" s="1044"/>
      <c r="B23" s="1051" t="s">
        <v>2177</v>
      </c>
      <c r="C23" s="1051"/>
      <c r="D23" s="1054">
        <v>40574000</v>
      </c>
      <c r="E23" s="1045"/>
      <c r="F23" s="1038"/>
      <c r="G23" s="1046"/>
      <c r="H23" s="1055">
        <v>1208900</v>
      </c>
      <c r="I23" s="1046"/>
    </row>
    <row r="24" spans="1:9">
      <c r="A24" s="1044"/>
      <c r="B24" s="1051" t="s">
        <v>3156</v>
      </c>
      <c r="C24" s="1051"/>
      <c r="D24" s="1054">
        <v>103454000</v>
      </c>
      <c r="E24" s="1045"/>
      <c r="F24" s="1038"/>
      <c r="G24" s="1046"/>
      <c r="H24" s="1055">
        <v>1495500</v>
      </c>
      <c r="I24" s="1046"/>
    </row>
    <row r="25" spans="1:9">
      <c r="A25" s="1044"/>
      <c r="B25" s="1051" t="s">
        <v>2814</v>
      </c>
      <c r="C25" s="1051"/>
      <c r="D25" s="1054">
        <v>800000</v>
      </c>
      <c r="E25" s="1045"/>
      <c r="F25" s="1038"/>
      <c r="G25" s="1046"/>
      <c r="H25" s="1055">
        <v>137100</v>
      </c>
      <c r="I25" s="1046"/>
    </row>
    <row r="26" spans="1:9">
      <c r="A26" s="1044"/>
      <c r="B26" s="1051" t="s">
        <v>2815</v>
      </c>
      <c r="C26" s="1051"/>
      <c r="D26" s="1054">
        <v>22010000</v>
      </c>
      <c r="E26" s="1045"/>
      <c r="F26" s="1038"/>
      <c r="G26" s="1046"/>
      <c r="H26" s="1055"/>
      <c r="I26" s="1046"/>
    </row>
    <row r="27" spans="1:9">
      <c r="A27" s="1044"/>
      <c r="B27" s="1051" t="s">
        <v>3441</v>
      </c>
      <c r="C27" s="1051"/>
      <c r="D27" s="1054">
        <v>91057650</v>
      </c>
      <c r="E27" s="1045"/>
      <c r="F27" s="1038"/>
      <c r="G27" s="1046"/>
      <c r="H27" s="1055">
        <v>11459256</v>
      </c>
      <c r="I27" s="1046"/>
    </row>
    <row r="28" spans="1:9">
      <c r="A28" s="1044"/>
      <c r="B28" s="1051" t="s">
        <v>2816</v>
      </c>
      <c r="C28" s="1051"/>
      <c r="D28" s="1054">
        <v>13187000</v>
      </c>
      <c r="E28" s="1045"/>
      <c r="F28" s="1038"/>
      <c r="G28" s="1046"/>
      <c r="H28" s="1055">
        <v>0</v>
      </c>
      <c r="I28" s="1046"/>
    </row>
    <row r="29" spans="1:9">
      <c r="A29" s="1044"/>
      <c r="B29" s="1051" t="s">
        <v>2817</v>
      </c>
      <c r="C29" s="1051"/>
      <c r="D29" s="1054">
        <v>0</v>
      </c>
      <c r="E29" s="1045"/>
      <c r="F29" s="1045"/>
      <c r="G29" s="1046"/>
      <c r="H29" s="1055">
        <v>584400</v>
      </c>
      <c r="I29" s="1046"/>
    </row>
    <row r="30" spans="1:9">
      <c r="A30" s="1044"/>
      <c r="B30" s="1051" t="s">
        <v>250</v>
      </c>
      <c r="C30" s="1051"/>
      <c r="D30" s="1054">
        <v>2020000</v>
      </c>
      <c r="E30" s="1045"/>
      <c r="F30" s="1038"/>
      <c r="G30" s="1046"/>
      <c r="H30" s="1055">
        <v>0</v>
      </c>
      <c r="I30" s="1046"/>
    </row>
    <row r="31" spans="1:9">
      <c r="A31" s="1044"/>
      <c r="B31" s="1051" t="s">
        <v>862</v>
      </c>
      <c r="C31" s="1051"/>
      <c r="D31" s="1054">
        <v>30000000</v>
      </c>
      <c r="E31" s="1045"/>
      <c r="F31" s="1045"/>
      <c r="G31" s="1046"/>
      <c r="H31" s="1055">
        <v>0</v>
      </c>
      <c r="I31" s="1046"/>
    </row>
    <row r="32" spans="1:9">
      <c r="A32" s="1044"/>
      <c r="B32" s="1051" t="s">
        <v>2176</v>
      </c>
      <c r="C32" s="1051"/>
      <c r="D32" s="1054">
        <v>1253446000</v>
      </c>
      <c r="E32" s="1045"/>
      <c r="F32" s="1038"/>
      <c r="G32" s="1046"/>
      <c r="H32" s="1055">
        <v>3885400</v>
      </c>
      <c r="I32" s="1046"/>
    </row>
    <row r="33" spans="1:16">
      <c r="A33" s="1044"/>
      <c r="B33" s="1047"/>
      <c r="C33" s="1047"/>
      <c r="D33" s="1056">
        <f>SUM(D20:D32)</f>
        <v>2334946290</v>
      </c>
      <c r="E33" s="1057"/>
      <c r="F33" s="1047"/>
      <c r="G33" s="1058"/>
      <c r="H33" s="1056">
        <f>SUM(H20:H32)</f>
        <v>50885746</v>
      </c>
      <c r="I33" s="1046"/>
    </row>
    <row r="34" spans="1:16">
      <c r="A34" s="1044"/>
      <c r="B34" s="1047"/>
      <c r="C34" s="1047"/>
      <c r="D34" s="1059"/>
      <c r="E34" s="1059"/>
      <c r="F34" s="1047"/>
      <c r="G34" s="1047"/>
      <c r="H34" s="1059"/>
      <c r="I34" s="1046"/>
    </row>
    <row r="35" spans="1:16" ht="63.75">
      <c r="A35" s="1044"/>
      <c r="B35" s="1060" t="s">
        <v>1568</v>
      </c>
      <c r="C35" s="1060"/>
      <c r="D35" s="1059"/>
      <c r="E35" s="1059"/>
      <c r="F35" s="1047"/>
      <c r="G35" s="1047"/>
      <c r="H35" s="1059"/>
      <c r="I35" s="1046"/>
      <c r="J35" s="1061"/>
    </row>
    <row r="36" spans="1:16">
      <c r="A36" s="1062"/>
      <c r="B36" s="1063"/>
      <c r="C36" s="1063"/>
      <c r="D36" s="1064"/>
      <c r="E36" s="1064"/>
      <c r="F36" s="1064"/>
      <c r="G36" s="1063"/>
      <c r="H36" s="1064"/>
      <c r="I36" s="1065"/>
    </row>
    <row r="37" spans="1:16">
      <c r="A37" s="1066"/>
      <c r="B37" s="1042"/>
      <c r="C37" s="1042"/>
      <c r="D37" s="1041"/>
      <c r="E37" s="1042"/>
      <c r="F37" s="1042"/>
      <c r="G37" s="1042"/>
      <c r="H37" s="1041"/>
      <c r="I37" s="1043"/>
    </row>
    <row r="38" spans="1:16" s="1037" customFormat="1">
      <c r="A38" s="1044"/>
      <c r="B38" s="1067"/>
      <c r="C38" s="1067"/>
      <c r="D38" s="1068" t="s">
        <v>2241</v>
      </c>
      <c r="E38" s="1067"/>
      <c r="F38" s="1067"/>
      <c r="G38" s="1067"/>
      <c r="H38" s="1068" t="s">
        <v>3558</v>
      </c>
      <c r="I38" s="1069"/>
      <c r="J38" s="1070"/>
      <c r="K38" s="1070"/>
      <c r="L38" s="1070"/>
      <c r="M38" s="1070"/>
      <c r="P38" s="1070"/>
    </row>
    <row r="39" spans="1:16" s="1037" customFormat="1">
      <c r="A39" s="1044"/>
      <c r="B39" s="1067"/>
      <c r="C39" s="1067"/>
      <c r="D39" s="1071" t="s">
        <v>3386</v>
      </c>
      <c r="E39" s="1067"/>
      <c r="F39" s="1067"/>
      <c r="G39" s="1067"/>
      <c r="H39" s="1071" t="s">
        <v>3386</v>
      </c>
      <c r="I39" s="1069"/>
      <c r="J39" s="1070"/>
      <c r="K39" s="1070"/>
      <c r="L39" s="1070"/>
      <c r="M39" s="1070"/>
      <c r="P39" s="1070"/>
    </row>
    <row r="40" spans="1:16" s="1074" customFormat="1">
      <c r="A40" s="1072" t="s">
        <v>516</v>
      </c>
      <c r="B40" s="1047" t="s">
        <v>3158</v>
      </c>
      <c r="C40" s="1047"/>
      <c r="D40" s="1059"/>
      <c r="E40" s="1047"/>
      <c r="F40" s="1047"/>
      <c r="G40" s="1047"/>
      <c r="H40" s="1059"/>
      <c r="I40" s="1058"/>
      <c r="J40" s="1073"/>
      <c r="K40" s="1073"/>
      <c r="L40" s="1073"/>
      <c r="M40" s="1073"/>
      <c r="P40" s="1073"/>
    </row>
    <row r="41" spans="1:16">
      <c r="A41" s="1044"/>
      <c r="B41" s="1075" t="s">
        <v>3159</v>
      </c>
      <c r="C41" s="1038"/>
      <c r="D41" s="1045">
        <f>-SUM(K46)</f>
        <v>20757570.349999998</v>
      </c>
      <c r="E41" s="1038"/>
      <c r="F41" s="1038"/>
      <c r="G41" s="1038"/>
      <c r="H41" s="1045">
        <v>19100536</v>
      </c>
      <c r="I41" s="1046"/>
      <c r="K41" s="1073" t="s">
        <v>2818</v>
      </c>
    </row>
    <row r="42" spans="1:16">
      <c r="A42" s="1044"/>
      <c r="B42" s="1075" t="s">
        <v>3160</v>
      </c>
      <c r="C42" s="1038"/>
      <c r="D42" s="1045"/>
      <c r="E42" s="1038"/>
      <c r="F42" s="1038"/>
      <c r="G42" s="1038"/>
      <c r="H42" s="1045"/>
      <c r="I42" s="1046"/>
      <c r="K42" s="1073" t="s">
        <v>2819</v>
      </c>
    </row>
    <row r="43" spans="1:16">
      <c r="A43" s="1044"/>
      <c r="B43" s="1075" t="s">
        <v>3161</v>
      </c>
      <c r="C43" s="1038"/>
      <c r="D43" s="1045">
        <f>-SUM(K47)</f>
        <v>3910829.34</v>
      </c>
      <c r="E43" s="1038"/>
      <c r="F43" s="1038"/>
      <c r="G43" s="1038"/>
      <c r="H43" s="1045">
        <v>3665254.84</v>
      </c>
      <c r="I43" s="1046"/>
      <c r="J43" s="1035">
        <v>4663948</v>
      </c>
    </row>
    <row r="44" spans="1:16">
      <c r="A44" s="1044"/>
      <c r="B44" s="1075" t="s">
        <v>3162</v>
      </c>
      <c r="C44" s="1038"/>
      <c r="D44" s="1045"/>
      <c r="E44" s="1038"/>
      <c r="F44" s="1038"/>
      <c r="G44" s="1038"/>
      <c r="H44" s="1045"/>
      <c r="I44" s="1046"/>
      <c r="J44" s="1035">
        <v>-3665255</v>
      </c>
      <c r="K44" s="1073" t="s">
        <v>2820</v>
      </c>
    </row>
    <row r="45" spans="1:16" ht="13.5" thickBot="1">
      <c r="A45" s="1044"/>
      <c r="B45" s="1076" t="s">
        <v>3163</v>
      </c>
      <c r="C45" s="1038"/>
      <c r="D45" s="1077">
        <f>SUM(D41:D44)</f>
        <v>24668399.689999998</v>
      </c>
      <c r="E45" s="1038"/>
      <c r="F45" s="1038"/>
      <c r="G45" s="1038"/>
      <c r="H45" s="1077">
        <f>SUM(H41:H44)</f>
        <v>22765790.84</v>
      </c>
      <c r="I45" s="1046"/>
      <c r="J45" s="1035">
        <f>SUM(J43:J44)</f>
        <v>998693</v>
      </c>
    </row>
    <row r="46" spans="1:16" ht="13.5" thickTop="1">
      <c r="A46" s="1062"/>
      <c r="B46" s="1063"/>
      <c r="C46" s="1063"/>
      <c r="D46" s="1064"/>
      <c r="E46" s="1063"/>
      <c r="F46" s="1063"/>
      <c r="G46" s="1063"/>
      <c r="H46" s="1064"/>
      <c r="I46" s="1065"/>
      <c r="J46" s="1035" t="s">
        <v>1748</v>
      </c>
      <c r="K46" s="1035">
        <f>SUM('TRAIL BALANCE'!C516+'TRAIL BALANCE'!C517+'TRAIL BALANCE'!C518+'TRAIL BALANCE'!C519)</f>
        <v>-20757570.349999998</v>
      </c>
      <c r="L46" s="1035">
        <f>SUM(P46+K46)</f>
        <v>216539.65000000224</v>
      </c>
      <c r="M46" s="1035" t="s">
        <v>2821</v>
      </c>
      <c r="N46" s="1036" t="s">
        <v>2823</v>
      </c>
      <c r="P46" s="1035">
        <v>20974110</v>
      </c>
    </row>
    <row r="47" spans="1:16">
      <c r="A47" s="1066"/>
      <c r="B47" s="1042"/>
      <c r="C47" s="1042"/>
      <c r="D47" s="1041"/>
      <c r="E47" s="1042"/>
      <c r="F47" s="1042"/>
      <c r="G47" s="1042"/>
      <c r="H47" s="1041"/>
      <c r="I47" s="1043"/>
      <c r="J47" s="1035" t="s">
        <v>1748</v>
      </c>
      <c r="K47" s="1035">
        <f>SUM('TRAIL BALANCE'!C386)</f>
        <v>-3910829.34</v>
      </c>
      <c r="L47" s="1035">
        <f>SUM(P47+K47)</f>
        <v>11478.660000000149</v>
      </c>
      <c r="M47" s="1035" t="s">
        <v>2822</v>
      </c>
      <c r="N47" s="1036" t="s">
        <v>2823</v>
      </c>
      <c r="P47" s="1035">
        <v>3922308</v>
      </c>
    </row>
    <row r="48" spans="1:16">
      <c r="A48" s="1044"/>
      <c r="B48" s="1038"/>
      <c r="C48" s="1038"/>
      <c r="D48" s="1068" t="s">
        <v>2241</v>
      </c>
      <c r="E48" s="1067"/>
      <c r="F48" s="1067"/>
      <c r="G48" s="1067"/>
      <c r="H48" s="1068" t="s">
        <v>3558</v>
      </c>
      <c r="I48" s="1046"/>
      <c r="L48" s="1073">
        <f>SUM(L46:L47)</f>
        <v>228018.31000000238</v>
      </c>
      <c r="M48" s="1035" t="s">
        <v>2824</v>
      </c>
    </row>
    <row r="49" spans="1:16">
      <c r="A49" s="1044"/>
      <c r="B49" s="1038"/>
      <c r="C49" s="1038"/>
      <c r="D49" s="1071" t="s">
        <v>3386</v>
      </c>
      <c r="E49" s="1067"/>
      <c r="F49" s="1067"/>
      <c r="G49" s="1067"/>
      <c r="H49" s="1071" t="s">
        <v>3386</v>
      </c>
      <c r="I49" s="1046"/>
    </row>
    <row r="50" spans="1:16" s="1074" customFormat="1">
      <c r="A50" s="1072" t="s">
        <v>999</v>
      </c>
      <c r="B50" s="1047" t="s">
        <v>3164</v>
      </c>
      <c r="C50" s="1047"/>
      <c r="D50" s="1059"/>
      <c r="E50" s="1047"/>
      <c r="F50" s="1047"/>
      <c r="G50" s="1047"/>
      <c r="H50" s="1059"/>
      <c r="I50" s="1058"/>
      <c r="J50" s="1073"/>
      <c r="K50" s="1073"/>
      <c r="L50" s="1073">
        <v>313280</v>
      </c>
      <c r="M50" s="1073"/>
      <c r="P50" s="1073"/>
    </row>
    <row r="51" spans="1:16">
      <c r="A51" s="1044"/>
      <c r="B51" s="1038"/>
      <c r="C51" s="1038"/>
      <c r="D51" s="1045"/>
      <c r="E51" s="1038"/>
      <c r="F51" s="1038"/>
      <c r="G51" s="1038"/>
      <c r="H51" s="1045"/>
      <c r="I51" s="1046"/>
      <c r="L51" s="1035">
        <f>SUM(L48-L50)</f>
        <v>-85261.689999997616</v>
      </c>
    </row>
    <row r="52" spans="1:16" s="1082" customFormat="1">
      <c r="A52" s="1049"/>
      <c r="B52" s="1078" t="s">
        <v>3165</v>
      </c>
      <c r="C52" s="1075"/>
      <c r="D52" s="1079">
        <f>SUM(D53:D58)</f>
        <v>12943512</v>
      </c>
      <c r="E52" s="1075"/>
      <c r="F52" s="1075"/>
      <c r="G52" s="1075"/>
      <c r="H52" s="1079">
        <f>SUM(H53:H58)</f>
        <v>9845128</v>
      </c>
      <c r="I52" s="1080"/>
      <c r="J52" s="1081"/>
      <c r="K52" s="1081"/>
      <c r="L52" s="1081"/>
      <c r="M52" s="1081"/>
      <c r="P52" s="1081"/>
    </row>
    <row r="53" spans="1:16" s="1082" customFormat="1">
      <c r="A53" s="1049"/>
      <c r="B53" s="1051" t="s">
        <v>3166</v>
      </c>
      <c r="C53" s="1075"/>
      <c r="D53" s="1083">
        <f>-SUM('TRAIL BALANCE'!C226+'TRAIL BALANCE'!C13)</f>
        <v>11142512</v>
      </c>
      <c r="E53" s="1075"/>
      <c r="F53" s="1075"/>
      <c r="G53" s="1075"/>
      <c r="H53" s="1083">
        <v>9345128</v>
      </c>
      <c r="I53" s="1080"/>
      <c r="J53" s="1081" t="s">
        <v>1463</v>
      </c>
      <c r="K53" s="1081">
        <f>SUM('Appendix E(1)'!B19)</f>
        <v>12943512</v>
      </c>
      <c r="L53" s="1081">
        <f>SUM(D53-K53)</f>
        <v>-1801000</v>
      </c>
      <c r="M53" s="1081"/>
      <c r="P53" s="1081"/>
    </row>
    <row r="54" spans="1:16" s="1082" customFormat="1">
      <c r="A54" s="1049"/>
      <c r="B54" s="1051" t="s">
        <v>3167</v>
      </c>
      <c r="C54" s="1075"/>
      <c r="D54" s="1084"/>
      <c r="E54" s="1075"/>
      <c r="F54" s="1075"/>
      <c r="G54" s="1075"/>
      <c r="H54" s="1084"/>
      <c r="I54" s="1080"/>
      <c r="J54" s="1081"/>
      <c r="K54" s="1081"/>
      <c r="L54" s="1081"/>
      <c r="M54" s="1081"/>
      <c r="P54" s="1081"/>
    </row>
    <row r="55" spans="1:16" s="1082" customFormat="1">
      <c r="A55" s="1049"/>
      <c r="B55" s="1051" t="s">
        <v>3168</v>
      </c>
      <c r="C55" s="1075"/>
      <c r="D55" s="1084">
        <f>-SUM('TRAIL BALANCE'!C282)</f>
        <v>500000</v>
      </c>
      <c r="E55" s="1075"/>
      <c r="F55" s="1075"/>
      <c r="G55" s="1075"/>
      <c r="H55" s="1084">
        <v>500000</v>
      </c>
      <c r="I55" s="1080"/>
      <c r="J55" s="1081"/>
      <c r="K55" s="1081"/>
      <c r="L55" s="1081"/>
      <c r="M55" s="1081"/>
      <c r="P55" s="1081"/>
    </row>
    <row r="56" spans="1:16" s="1082" customFormat="1">
      <c r="A56" s="1049"/>
      <c r="B56" s="1051" t="s">
        <v>3169</v>
      </c>
      <c r="C56" s="1075"/>
      <c r="D56" s="1084">
        <f>-SUM('TRAIL BALANCE'!C124)</f>
        <v>567000</v>
      </c>
      <c r="E56" s="1075"/>
      <c r="F56" s="1075"/>
      <c r="G56" s="1075"/>
      <c r="H56" s="1084">
        <v>0</v>
      </c>
      <c r="I56" s="1080"/>
      <c r="J56" s="1081"/>
      <c r="K56" s="1081"/>
      <c r="L56" s="1081"/>
      <c r="M56" s="1081"/>
      <c r="P56" s="1081"/>
    </row>
    <row r="57" spans="1:16" s="1082" customFormat="1">
      <c r="A57" s="1049"/>
      <c r="B57" s="1051" t="s">
        <v>3170</v>
      </c>
      <c r="C57" s="1075"/>
      <c r="D57" s="1084"/>
      <c r="E57" s="1075"/>
      <c r="F57" s="1075"/>
      <c r="G57" s="1075"/>
      <c r="H57" s="1084">
        <v>0</v>
      </c>
      <c r="I57" s="1080"/>
      <c r="J57" s="1081"/>
      <c r="K57" s="1081"/>
      <c r="L57" s="1081"/>
      <c r="M57" s="1081"/>
      <c r="P57" s="1081"/>
    </row>
    <row r="58" spans="1:16" s="1082" customFormat="1">
      <c r="A58" s="1049"/>
      <c r="B58" s="1051" t="s">
        <v>3171</v>
      </c>
      <c r="C58" s="1075"/>
      <c r="D58" s="1085">
        <f>-SUM('TRAIL BALANCE'!C283)</f>
        <v>734000</v>
      </c>
      <c r="E58" s="1075"/>
      <c r="F58" s="1075"/>
      <c r="G58" s="1075"/>
      <c r="H58" s="1085">
        <v>0</v>
      </c>
      <c r="I58" s="1080"/>
      <c r="J58" s="1081"/>
      <c r="K58" s="1081"/>
      <c r="L58" s="1081"/>
      <c r="M58" s="1081"/>
      <c r="P58" s="1081"/>
    </row>
    <row r="59" spans="1:16">
      <c r="A59" s="1044"/>
      <c r="B59" s="1075"/>
      <c r="C59" s="1038"/>
      <c r="D59" s="1045"/>
      <c r="E59" s="1038"/>
      <c r="F59" s="1038"/>
      <c r="G59" s="1038"/>
      <c r="H59" s="1045"/>
      <c r="I59" s="1046"/>
    </row>
    <row r="60" spans="1:16">
      <c r="A60" s="1044"/>
      <c r="B60" s="1078"/>
      <c r="C60" s="1038"/>
      <c r="D60" s="1045"/>
      <c r="E60" s="1038"/>
      <c r="F60" s="1038"/>
      <c r="G60" s="1038"/>
      <c r="H60" s="1045"/>
      <c r="I60" s="1046"/>
    </row>
    <row r="61" spans="1:16" s="1082" customFormat="1">
      <c r="A61" s="1049"/>
      <c r="B61" s="1078" t="s">
        <v>3172</v>
      </c>
      <c r="C61" s="1075"/>
      <c r="D61" s="1079">
        <f>SUM(D62:D66)</f>
        <v>2043290.17</v>
      </c>
      <c r="E61" s="1075"/>
      <c r="F61" s="1075"/>
      <c r="G61" s="1075"/>
      <c r="H61" s="1079">
        <f>SUM(H62:H66)</f>
        <v>9783123.7699999996</v>
      </c>
      <c r="I61" s="1080"/>
      <c r="J61" s="1081"/>
      <c r="K61" s="1081"/>
      <c r="L61" s="1081"/>
      <c r="M61" s="1081"/>
      <c r="P61" s="1081"/>
    </row>
    <row r="62" spans="1:16" s="1082" customFormat="1">
      <c r="A62" s="1049"/>
      <c r="B62" s="1051" t="s">
        <v>3168</v>
      </c>
      <c r="C62" s="1075"/>
      <c r="D62" s="1083">
        <v>0</v>
      </c>
      <c r="E62" s="1075"/>
      <c r="F62" s="1075"/>
      <c r="G62" s="1075"/>
      <c r="H62" s="1083"/>
      <c r="I62" s="1080"/>
      <c r="J62" s="1081"/>
      <c r="K62" s="1081"/>
      <c r="L62" s="1081"/>
      <c r="M62" s="1081"/>
      <c r="P62" s="1081"/>
    </row>
    <row r="63" spans="1:16" s="1082" customFormat="1" ht="25.5">
      <c r="A63" s="1049"/>
      <c r="B63" s="1051" t="s">
        <v>3173</v>
      </c>
      <c r="C63" s="1075"/>
      <c r="D63" s="1084">
        <v>0</v>
      </c>
      <c r="E63" s="1075"/>
      <c r="F63" s="1075"/>
      <c r="G63" s="1075"/>
      <c r="H63" s="1084">
        <v>5479200</v>
      </c>
      <c r="I63" s="1080"/>
      <c r="J63" s="1081"/>
      <c r="K63" s="1081"/>
      <c r="L63" s="1081"/>
      <c r="M63" s="1081"/>
      <c r="P63" s="1081"/>
    </row>
    <row r="64" spans="1:16" s="1082" customFormat="1">
      <c r="A64" s="1049"/>
      <c r="B64" s="1051" t="s">
        <v>3174</v>
      </c>
      <c r="C64" s="1075"/>
      <c r="D64" s="1084">
        <f>-SUM('TRAIL BALANCE'!C13+'TRAIL BALANCE'!C367+'TRAIL BALANCE'!C455+'TRAIL BALANCE'!C456-'TRAIL BALANCE'!C13)</f>
        <v>2043290.17</v>
      </c>
      <c r="E64" s="1075"/>
      <c r="F64" s="1075"/>
      <c r="G64" s="1075"/>
      <c r="H64" s="1084">
        <f>18900+185772.94+785876.47+362000+572759.36+1250000+56615+572000+500000</f>
        <v>4303923.7699999996</v>
      </c>
      <c r="I64" s="1080"/>
      <c r="J64" s="1081" t="s">
        <v>1464</v>
      </c>
      <c r="K64" s="1081">
        <f>SUM(D121)</f>
        <v>-2043290.17</v>
      </c>
      <c r="L64" s="1081"/>
      <c r="M64" s="1081"/>
      <c r="P64" s="1081"/>
    </row>
    <row r="65" spans="1:16" s="1082" customFormat="1">
      <c r="A65" s="1049"/>
      <c r="B65" s="1051" t="s">
        <v>3175</v>
      </c>
      <c r="C65" s="1075"/>
      <c r="D65" s="1084"/>
      <c r="E65" s="1075"/>
      <c r="F65" s="1075"/>
      <c r="G65" s="1075"/>
      <c r="H65" s="1084"/>
      <c r="I65" s="1080"/>
      <c r="J65" s="1081"/>
      <c r="K65" s="1081"/>
      <c r="L65" s="1081"/>
      <c r="M65" s="1081"/>
      <c r="P65" s="1081"/>
    </row>
    <row r="66" spans="1:16" s="1082" customFormat="1">
      <c r="A66" s="1049"/>
      <c r="B66" s="1051" t="s">
        <v>3176</v>
      </c>
      <c r="C66" s="1075"/>
      <c r="D66" s="1085"/>
      <c r="E66" s="1075"/>
      <c r="F66" s="1075"/>
      <c r="G66" s="1075"/>
      <c r="H66" s="1085">
        <v>0</v>
      </c>
      <c r="I66" s="1080"/>
      <c r="J66" s="1081"/>
      <c r="K66" s="1081">
        <f>SUM(D64+K64)</f>
        <v>0</v>
      </c>
      <c r="L66" s="1081"/>
      <c r="M66" s="1081"/>
      <c r="P66" s="1081"/>
    </row>
    <row r="67" spans="1:16">
      <c r="A67" s="1044"/>
      <c r="B67" s="1075"/>
      <c r="C67" s="1038"/>
      <c r="D67" s="1045"/>
      <c r="E67" s="1038"/>
      <c r="F67" s="1038"/>
      <c r="G67" s="1038"/>
      <c r="H67" s="1045"/>
      <c r="I67" s="1046"/>
    </row>
    <row r="68" spans="1:16" s="1074" customFormat="1">
      <c r="A68" s="1044"/>
      <c r="B68" s="1076" t="s">
        <v>3177</v>
      </c>
      <c r="C68" s="1047"/>
      <c r="D68" s="1059">
        <f>D61+D52</f>
        <v>14986802.17</v>
      </c>
      <c r="E68" s="1047"/>
      <c r="F68" s="1047"/>
      <c r="G68" s="1047"/>
      <c r="H68" s="1059">
        <f>H61+H52</f>
        <v>19628251.77</v>
      </c>
      <c r="I68" s="1058"/>
      <c r="J68" s="1073"/>
      <c r="K68" s="1073"/>
      <c r="L68" s="1073"/>
      <c r="M68" s="1073"/>
      <c r="P68" s="1073"/>
    </row>
    <row r="69" spans="1:16">
      <c r="A69" s="1044"/>
      <c r="B69" s="1076"/>
      <c r="C69" s="1038"/>
      <c r="D69" s="1045"/>
      <c r="E69" s="1038"/>
      <c r="F69" s="1038"/>
      <c r="G69" s="1038"/>
      <c r="H69" s="1045"/>
      <c r="I69" s="1046"/>
    </row>
    <row r="70" spans="1:16">
      <c r="A70" s="1044"/>
      <c r="B70" s="1078" t="s">
        <v>3178</v>
      </c>
      <c r="C70" s="1038"/>
      <c r="D70" s="1045"/>
      <c r="E70" s="1038"/>
      <c r="F70" s="1038"/>
      <c r="G70" s="1038"/>
      <c r="H70" s="1045"/>
      <c r="I70" s="1046"/>
    </row>
    <row r="71" spans="1:16" s="1089" customFormat="1" ht="38.25">
      <c r="A71" s="1086"/>
      <c r="B71" s="1060" t="s">
        <v>1569</v>
      </c>
      <c r="C71" s="1060"/>
      <c r="D71" s="1060"/>
      <c r="E71" s="1060"/>
      <c r="F71" s="1060"/>
      <c r="G71" s="1060"/>
      <c r="H71" s="1060"/>
      <c r="I71" s="1087"/>
      <c r="J71" s="1088"/>
      <c r="K71" s="1088"/>
      <c r="L71" s="1088"/>
      <c r="M71" s="1088"/>
      <c r="P71" s="1088"/>
    </row>
    <row r="72" spans="1:16" s="1038" customFormat="1">
      <c r="A72" s="1044"/>
      <c r="D72" s="1045"/>
      <c r="H72" s="1045"/>
      <c r="I72" s="1046"/>
      <c r="J72" s="1045"/>
      <c r="K72" s="1045"/>
      <c r="L72" s="1045"/>
      <c r="M72" s="1045"/>
      <c r="P72" s="1045"/>
    </row>
    <row r="73" spans="1:16">
      <c r="A73" s="1044"/>
      <c r="B73" s="1038"/>
      <c r="C73" s="1038"/>
      <c r="D73" s="1045"/>
      <c r="E73" s="1038"/>
      <c r="F73" s="1038"/>
      <c r="G73" s="1038"/>
      <c r="H73" s="1045"/>
      <c r="I73" s="1046"/>
    </row>
    <row r="74" spans="1:16">
      <c r="A74" s="1044"/>
      <c r="B74" s="1078" t="s">
        <v>3179</v>
      </c>
      <c r="C74" s="1038"/>
      <c r="D74" s="1045"/>
      <c r="E74" s="1038"/>
      <c r="F74" s="1038"/>
      <c r="G74" s="1038"/>
      <c r="H74" s="1045"/>
      <c r="I74" s="1046"/>
    </row>
    <row r="75" spans="1:16">
      <c r="A75" s="1044"/>
      <c r="B75" s="1075" t="s">
        <v>3180</v>
      </c>
      <c r="C75" s="1038"/>
      <c r="D75" s="1045"/>
      <c r="E75" s="1038"/>
      <c r="F75" s="1038"/>
      <c r="G75" s="1038"/>
      <c r="H75" s="1045"/>
      <c r="I75" s="1046"/>
    </row>
    <row r="76" spans="1:16">
      <c r="A76" s="1044"/>
      <c r="B76" s="1075" t="s">
        <v>3181</v>
      </c>
      <c r="C76" s="1038"/>
      <c r="D76" s="1045"/>
      <c r="E76" s="1038"/>
      <c r="F76" s="1038"/>
      <c r="G76" s="1038"/>
      <c r="H76" s="1045"/>
      <c r="I76" s="1046"/>
    </row>
    <row r="77" spans="1:16" ht="13.5" thickBot="1">
      <c r="A77" s="1044"/>
      <c r="B77" s="1076" t="s">
        <v>3182</v>
      </c>
      <c r="C77" s="1038"/>
      <c r="D77" s="1077">
        <f>SUM(D75:D76)</f>
        <v>0</v>
      </c>
      <c r="E77" s="1038"/>
      <c r="F77" s="1038"/>
      <c r="G77" s="1038"/>
      <c r="H77" s="1077">
        <f>SUM(H75:H76)</f>
        <v>0</v>
      </c>
      <c r="I77" s="1046"/>
    </row>
    <row r="78" spans="1:16" ht="13.5" thickTop="1">
      <c r="A78" s="1044"/>
      <c r="B78" s="1075" t="s">
        <v>3668</v>
      </c>
      <c r="C78" s="1038"/>
      <c r="D78" s="1045"/>
      <c r="E78" s="1038"/>
      <c r="F78" s="1038"/>
      <c r="G78" s="1038"/>
      <c r="H78" s="1045"/>
      <c r="I78" s="1046"/>
    </row>
    <row r="79" spans="1:16" s="1060" customFormat="1">
      <c r="A79" s="1086"/>
      <c r="I79" s="1087"/>
      <c r="J79" s="1090"/>
      <c r="K79" s="1090"/>
      <c r="L79" s="1090"/>
      <c r="M79" s="1090"/>
      <c r="P79" s="1090"/>
    </row>
    <row r="80" spans="1:16">
      <c r="A80" s="1062"/>
      <c r="B80" s="1063"/>
      <c r="C80" s="1063"/>
      <c r="D80" s="1064"/>
      <c r="E80" s="1063"/>
      <c r="F80" s="1063"/>
      <c r="G80" s="1063"/>
      <c r="H80" s="1064"/>
      <c r="I80" s="1065"/>
    </row>
    <row r="81" spans="1:16">
      <c r="A81" s="1066"/>
      <c r="B81" s="1091" t="s">
        <v>3183</v>
      </c>
      <c r="C81" s="1042"/>
      <c r="D81" s="1041"/>
      <c r="E81" s="1042"/>
      <c r="F81" s="1042"/>
      <c r="G81" s="1042"/>
      <c r="H81" s="1041"/>
      <c r="I81" s="1043"/>
    </row>
    <row r="82" spans="1:16">
      <c r="A82" s="1044"/>
      <c r="B82" s="1075" t="s">
        <v>3184</v>
      </c>
      <c r="C82" s="1038"/>
      <c r="D82" s="1045">
        <v>0</v>
      </c>
      <c r="E82" s="1038"/>
      <c r="F82" s="1038"/>
      <c r="G82" s="1038"/>
      <c r="H82" s="1045">
        <v>0</v>
      </c>
      <c r="I82" s="1046"/>
    </row>
    <row r="83" spans="1:16">
      <c r="A83" s="1044"/>
      <c r="B83" s="1075" t="s">
        <v>3180</v>
      </c>
      <c r="C83" s="1038"/>
      <c r="D83" s="1045">
        <f>SUM(D55)</f>
        <v>500000</v>
      </c>
      <c r="E83" s="1038"/>
      <c r="F83" s="1038"/>
      <c r="G83" s="1038"/>
      <c r="H83" s="1045">
        <v>500000</v>
      </c>
      <c r="I83" s="1046"/>
    </row>
    <row r="84" spans="1:16">
      <c r="A84" s="1044"/>
      <c r="B84" s="1075" t="s">
        <v>3181</v>
      </c>
      <c r="C84" s="1038"/>
      <c r="D84" s="1045">
        <v>-500000</v>
      </c>
      <c r="E84" s="1038"/>
      <c r="F84" s="1038"/>
      <c r="G84" s="1038"/>
      <c r="H84" s="1045">
        <v>-500000</v>
      </c>
      <c r="I84" s="1046"/>
    </row>
    <row r="85" spans="1:16" s="1074" customFormat="1" ht="13.5" thickBot="1">
      <c r="A85" s="1044"/>
      <c r="B85" s="1076" t="s">
        <v>3185</v>
      </c>
      <c r="C85" s="1047"/>
      <c r="D85" s="1077">
        <f>SUM(D82:D84)</f>
        <v>0</v>
      </c>
      <c r="E85" s="1047"/>
      <c r="F85" s="1047"/>
      <c r="G85" s="1047"/>
      <c r="H85" s="1077">
        <f>SUM(H82:H84)</f>
        <v>0</v>
      </c>
      <c r="I85" s="1058"/>
      <c r="J85" s="1073"/>
      <c r="K85" s="1073"/>
      <c r="L85" s="1073"/>
      <c r="M85" s="1073"/>
      <c r="P85" s="1073"/>
    </row>
    <row r="86" spans="1:16" ht="13.5" thickTop="1">
      <c r="A86" s="1044"/>
      <c r="B86" s="1075" t="s">
        <v>3668</v>
      </c>
      <c r="C86" s="1038"/>
      <c r="D86" s="1045"/>
      <c r="E86" s="1038"/>
      <c r="F86" s="1038"/>
      <c r="G86" s="1038"/>
      <c r="H86" s="1045"/>
      <c r="I86" s="1046"/>
    </row>
    <row r="87" spans="1:16" s="1089" customFormat="1" ht="76.5">
      <c r="A87" s="1086"/>
      <c r="B87" s="1060" t="s">
        <v>3186</v>
      </c>
      <c r="C87" s="1060"/>
      <c r="D87" s="1060"/>
      <c r="E87" s="1060"/>
      <c r="F87" s="1060"/>
      <c r="G87" s="1060"/>
      <c r="H87" s="1060"/>
      <c r="I87" s="1087"/>
      <c r="J87" s="1088"/>
      <c r="K87" s="1088"/>
      <c r="L87" s="1088"/>
      <c r="M87" s="1088"/>
      <c r="P87" s="1088"/>
    </row>
    <row r="88" spans="1:16">
      <c r="A88" s="1044"/>
      <c r="B88" s="1038"/>
      <c r="C88" s="1038"/>
      <c r="D88" s="1045"/>
      <c r="E88" s="1038"/>
      <c r="F88" s="1038"/>
      <c r="G88" s="1038"/>
      <c r="H88" s="1045"/>
      <c r="I88" s="1046"/>
    </row>
    <row r="89" spans="1:16">
      <c r="A89" s="1044"/>
      <c r="B89" s="1092" t="s">
        <v>3187</v>
      </c>
      <c r="C89" s="1038"/>
      <c r="D89" s="1045"/>
      <c r="E89" s="1038"/>
      <c r="F89" s="1038"/>
      <c r="G89" s="1038"/>
      <c r="H89" s="1045"/>
      <c r="I89" s="1046"/>
    </row>
    <row r="90" spans="1:16">
      <c r="A90" s="1044"/>
      <c r="B90" s="1075" t="s">
        <v>3180</v>
      </c>
      <c r="C90" s="1038"/>
      <c r="D90" s="1045"/>
      <c r="E90" s="1038"/>
      <c r="F90" s="1038"/>
      <c r="G90" s="1038"/>
      <c r="H90" s="1045"/>
      <c r="I90" s="1046"/>
    </row>
    <row r="91" spans="1:16" ht="13.5" thickBot="1">
      <c r="A91" s="1044"/>
      <c r="B91" s="1076" t="s">
        <v>3182</v>
      </c>
      <c r="C91" s="1038"/>
      <c r="D91" s="1077">
        <f>SUM(D90)</f>
        <v>0</v>
      </c>
      <c r="E91" s="1038"/>
      <c r="F91" s="1038"/>
      <c r="G91" s="1038"/>
      <c r="H91" s="1077">
        <f>SUM(H90)</f>
        <v>0</v>
      </c>
      <c r="I91" s="1046"/>
    </row>
    <row r="92" spans="1:16" ht="13.5" thickTop="1">
      <c r="A92" s="1044"/>
      <c r="B92" s="1075" t="s">
        <v>3668</v>
      </c>
      <c r="C92" s="1038"/>
      <c r="D92" s="1045"/>
      <c r="E92" s="1038"/>
      <c r="F92" s="1038"/>
      <c r="G92" s="1038"/>
      <c r="H92" s="1045"/>
      <c r="I92" s="1046"/>
    </row>
    <row r="93" spans="1:16" s="1089" customFormat="1" ht="51">
      <c r="A93" s="1086"/>
      <c r="B93" s="1060" t="s">
        <v>3188</v>
      </c>
      <c r="C93" s="1060"/>
      <c r="D93" s="1060"/>
      <c r="E93" s="1060"/>
      <c r="F93" s="1060"/>
      <c r="G93" s="1060"/>
      <c r="H93" s="1060"/>
      <c r="I93" s="1087"/>
      <c r="J93" s="1088"/>
      <c r="K93" s="1088"/>
      <c r="L93" s="1088"/>
      <c r="M93" s="1088"/>
      <c r="P93" s="1088"/>
    </row>
    <row r="94" spans="1:16">
      <c r="A94" s="1044"/>
      <c r="B94" s="1038"/>
      <c r="C94" s="1038"/>
      <c r="D94" s="1045"/>
      <c r="E94" s="1038"/>
      <c r="F94" s="1038"/>
      <c r="G94" s="1038"/>
      <c r="H94" s="1045"/>
      <c r="I94" s="1046"/>
    </row>
    <row r="95" spans="1:16">
      <c r="A95" s="1044"/>
      <c r="B95" s="1092" t="s">
        <v>3002</v>
      </c>
      <c r="C95" s="1038"/>
      <c r="D95" s="1045"/>
      <c r="E95" s="1038"/>
      <c r="F95" s="1038"/>
      <c r="G95" s="1038"/>
      <c r="H95" s="1045"/>
      <c r="I95" s="1046"/>
    </row>
    <row r="96" spans="1:16">
      <c r="A96" s="1044"/>
      <c r="B96" s="1075" t="s">
        <v>3184</v>
      </c>
      <c r="C96" s="1038"/>
      <c r="D96" s="1045"/>
      <c r="E96" s="1038"/>
      <c r="F96" s="1038"/>
      <c r="G96" s="1038"/>
      <c r="H96" s="1045">
        <v>572000</v>
      </c>
      <c r="I96" s="1046"/>
    </row>
    <row r="97" spans="1:16">
      <c r="A97" s="1044"/>
      <c r="B97" s="1075" t="s">
        <v>3181</v>
      </c>
      <c r="C97" s="1038"/>
      <c r="D97" s="1045"/>
      <c r="E97" s="1038"/>
      <c r="F97" s="1038"/>
      <c r="G97" s="1038"/>
      <c r="H97" s="1045">
        <v>-572000</v>
      </c>
      <c r="I97" s="1046"/>
    </row>
    <row r="98" spans="1:16" ht="13.5" thickBot="1">
      <c r="A98" s="1044"/>
      <c r="B98" s="1076" t="s">
        <v>3182</v>
      </c>
      <c r="C98" s="1038"/>
      <c r="D98" s="1077">
        <f>SUM(D96:D97)</f>
        <v>0</v>
      </c>
      <c r="E98" s="1038"/>
      <c r="F98" s="1038"/>
      <c r="G98" s="1038"/>
      <c r="H98" s="1077">
        <f>SUM(H96:H97)</f>
        <v>0</v>
      </c>
      <c r="I98" s="1046"/>
    </row>
    <row r="99" spans="1:16" ht="13.5" thickTop="1">
      <c r="A99" s="1044"/>
      <c r="B99" s="1075" t="s">
        <v>3668</v>
      </c>
      <c r="C99" s="1038"/>
      <c r="D99" s="1045"/>
      <c r="E99" s="1038"/>
      <c r="F99" s="1038"/>
      <c r="G99" s="1038"/>
      <c r="H99" s="1045"/>
      <c r="I99" s="1046"/>
    </row>
    <row r="100" spans="1:16" s="1089" customFormat="1" ht="63.75">
      <c r="A100" s="1086"/>
      <c r="B100" s="1060" t="s">
        <v>3189</v>
      </c>
      <c r="C100" s="1060"/>
      <c r="D100" s="1060"/>
      <c r="E100" s="1060"/>
      <c r="F100" s="1060"/>
      <c r="G100" s="1060"/>
      <c r="H100" s="1060"/>
      <c r="I100" s="1087"/>
      <c r="J100" s="1088"/>
      <c r="K100" s="1088"/>
      <c r="L100" s="1088"/>
      <c r="M100" s="1088"/>
      <c r="P100" s="1088"/>
    </row>
    <row r="101" spans="1:16" s="1038" customFormat="1">
      <c r="A101" s="1044"/>
      <c r="D101" s="1045"/>
      <c r="H101" s="1045"/>
      <c r="I101" s="1046"/>
      <c r="J101" s="1045"/>
      <c r="K101" s="1045"/>
      <c r="L101" s="1045"/>
      <c r="M101" s="1045"/>
      <c r="P101" s="1045"/>
    </row>
    <row r="102" spans="1:16">
      <c r="A102" s="1044"/>
      <c r="B102" s="1038"/>
      <c r="C102" s="1038"/>
      <c r="D102" s="1045"/>
      <c r="E102" s="1038"/>
      <c r="F102" s="1038"/>
      <c r="G102" s="1038"/>
      <c r="H102" s="1045"/>
      <c r="I102" s="1046"/>
    </row>
    <row r="103" spans="1:16" ht="14.25" customHeight="1">
      <c r="A103" s="1044"/>
      <c r="B103" s="1354" t="s">
        <v>3190</v>
      </c>
      <c r="C103" s="1354"/>
      <c r="D103" s="1093"/>
      <c r="E103" s="1038"/>
      <c r="F103" s="1038"/>
      <c r="G103" s="1038"/>
      <c r="H103" s="1045"/>
      <c r="I103" s="1046"/>
    </row>
    <row r="104" spans="1:16">
      <c r="A104" s="1044"/>
      <c r="B104" s="1075" t="s">
        <v>3184</v>
      </c>
      <c r="C104" s="1075"/>
      <c r="D104" s="1093"/>
      <c r="E104" s="1045"/>
      <c r="F104" s="1045"/>
      <c r="G104" s="1045"/>
      <c r="H104" s="1093"/>
      <c r="I104" s="1046"/>
    </row>
    <row r="105" spans="1:16">
      <c r="A105" s="1044"/>
      <c r="B105" s="1075" t="s">
        <v>3180</v>
      </c>
      <c r="C105" s="1075"/>
      <c r="D105" s="1093">
        <f>SUM(D58)</f>
        <v>734000</v>
      </c>
      <c r="E105" s="1045"/>
      <c r="F105" s="1045"/>
      <c r="G105" s="1045"/>
      <c r="H105" s="1093"/>
      <c r="I105" s="1046"/>
    </row>
    <row r="106" spans="1:16">
      <c r="A106" s="1044"/>
      <c r="B106" s="1075" t="s">
        <v>3181</v>
      </c>
      <c r="C106" s="1075"/>
      <c r="D106" s="1093">
        <v>-734000</v>
      </c>
      <c r="E106" s="1045"/>
      <c r="F106" s="1045"/>
      <c r="G106" s="1045"/>
      <c r="H106" s="1093"/>
      <c r="I106" s="1046"/>
    </row>
    <row r="107" spans="1:16" s="1074" customFormat="1" ht="13.5" thickBot="1">
      <c r="A107" s="1044"/>
      <c r="B107" s="1076" t="s">
        <v>3185</v>
      </c>
      <c r="C107" s="1076"/>
      <c r="D107" s="1094">
        <f>SUM(D104:D106)</f>
        <v>0</v>
      </c>
      <c r="E107" s="1059"/>
      <c r="F107" s="1059"/>
      <c r="G107" s="1059"/>
      <c r="H107" s="1094">
        <f>SUM(H104:H106)</f>
        <v>0</v>
      </c>
      <c r="I107" s="1058"/>
      <c r="J107" s="1073"/>
      <c r="K107" s="1073"/>
      <c r="L107" s="1073"/>
      <c r="M107" s="1073"/>
      <c r="P107" s="1073"/>
    </row>
    <row r="108" spans="1:16" ht="13.5" thickTop="1">
      <c r="A108" s="1044"/>
      <c r="B108" s="1075" t="s">
        <v>3668</v>
      </c>
      <c r="C108" s="1075"/>
      <c r="D108" s="1093"/>
      <c r="E108" s="1038"/>
      <c r="F108" s="1038"/>
      <c r="G108" s="1038"/>
      <c r="H108" s="1045"/>
      <c r="I108" s="1046"/>
    </row>
    <row r="109" spans="1:16" s="1089" customFormat="1" ht="76.5">
      <c r="A109" s="1086"/>
      <c r="B109" s="1060" t="s">
        <v>3191</v>
      </c>
      <c r="C109" s="1060"/>
      <c r="D109" s="1060"/>
      <c r="E109" s="1060"/>
      <c r="F109" s="1060"/>
      <c r="G109" s="1060"/>
      <c r="H109" s="1060"/>
      <c r="I109" s="1087"/>
      <c r="J109" s="1088"/>
      <c r="K109" s="1088"/>
      <c r="L109" s="1088"/>
      <c r="M109" s="1088"/>
      <c r="P109" s="1088"/>
    </row>
    <row r="110" spans="1:16">
      <c r="A110" s="1044"/>
      <c r="B110" s="1038"/>
      <c r="C110" s="1038"/>
      <c r="D110" s="1045"/>
      <c r="E110" s="1038"/>
      <c r="F110" s="1038"/>
      <c r="G110" s="1038"/>
      <c r="H110" s="1045"/>
      <c r="I110" s="1046"/>
    </row>
    <row r="111" spans="1:16" ht="14.25" customHeight="1">
      <c r="A111" s="1044"/>
      <c r="B111" s="1354" t="s">
        <v>3192</v>
      </c>
      <c r="C111" s="1354"/>
      <c r="D111" s="1045"/>
      <c r="E111" s="1038"/>
      <c r="F111" s="1038"/>
      <c r="G111" s="1038"/>
      <c r="H111" s="1045"/>
      <c r="I111" s="1046"/>
    </row>
    <row r="112" spans="1:16">
      <c r="A112" s="1044"/>
      <c r="B112" s="1075" t="s">
        <v>3184</v>
      </c>
      <c r="C112" s="1075"/>
      <c r="D112" s="1045">
        <v>0</v>
      </c>
      <c r="E112" s="1038"/>
      <c r="F112" s="1038"/>
      <c r="G112" s="1038"/>
      <c r="H112" s="1045"/>
      <c r="I112" s="1046"/>
    </row>
    <row r="113" spans="1:16">
      <c r="A113" s="1044"/>
      <c r="B113" s="1075" t="s">
        <v>3181</v>
      </c>
      <c r="C113" s="1075"/>
      <c r="D113" s="1045">
        <v>0</v>
      </c>
      <c r="E113" s="1038"/>
      <c r="F113" s="1038"/>
      <c r="G113" s="1038"/>
      <c r="H113" s="1045"/>
      <c r="I113" s="1046"/>
    </row>
    <row r="114" spans="1:16" ht="13.5" thickBot="1">
      <c r="A114" s="1044"/>
      <c r="B114" s="1076" t="s">
        <v>3185</v>
      </c>
      <c r="C114" s="1075"/>
      <c r="D114" s="1077">
        <f>SUM(D112:D113)</f>
        <v>0</v>
      </c>
      <c r="E114" s="1038"/>
      <c r="F114" s="1038"/>
      <c r="G114" s="1038"/>
      <c r="H114" s="1077">
        <f>SUM(H112:H113)</f>
        <v>0</v>
      </c>
      <c r="I114" s="1046"/>
    </row>
    <row r="115" spans="1:16" ht="13.5" thickTop="1">
      <c r="A115" s="1044"/>
      <c r="B115" s="1075" t="s">
        <v>3668</v>
      </c>
      <c r="C115" s="1075"/>
      <c r="D115" s="1045"/>
      <c r="E115" s="1038"/>
      <c r="F115" s="1038"/>
      <c r="G115" s="1038"/>
      <c r="H115" s="1045"/>
      <c r="I115" s="1046"/>
    </row>
    <row r="116" spans="1:16" s="1089" customFormat="1" ht="38.25">
      <c r="A116" s="1086"/>
      <c r="B116" s="1060" t="s">
        <v>3193</v>
      </c>
      <c r="C116" s="1060"/>
      <c r="D116" s="1060"/>
      <c r="E116" s="1060"/>
      <c r="F116" s="1060"/>
      <c r="G116" s="1060"/>
      <c r="H116" s="1060"/>
      <c r="I116" s="1087"/>
      <c r="J116" s="1088">
        <f>350000+448000+320000</f>
        <v>1118000</v>
      </c>
      <c r="K116" s="1088"/>
      <c r="L116" s="1088"/>
      <c r="M116" s="1088"/>
      <c r="P116" s="1088"/>
    </row>
    <row r="117" spans="1:16">
      <c r="A117" s="1062"/>
      <c r="B117" s="1063"/>
      <c r="C117" s="1063"/>
      <c r="D117" s="1064"/>
      <c r="E117" s="1063"/>
      <c r="F117" s="1063"/>
      <c r="G117" s="1063"/>
      <c r="H117" s="1064"/>
      <c r="I117" s="1065"/>
    </row>
    <row r="118" spans="1:16" ht="14.25" customHeight="1">
      <c r="A118" s="1066"/>
      <c r="B118" s="1355" t="s">
        <v>2803</v>
      </c>
      <c r="C118" s="1355"/>
      <c r="D118" s="1041"/>
      <c r="E118" s="1042"/>
      <c r="F118" s="1042"/>
      <c r="G118" s="1042"/>
      <c r="H118" s="1041"/>
      <c r="I118" s="1043"/>
    </row>
    <row r="119" spans="1:16">
      <c r="A119" s="1044"/>
      <c r="B119" s="1075" t="s">
        <v>3184</v>
      </c>
      <c r="C119" s="1075"/>
      <c r="D119" s="1045">
        <v>303596</v>
      </c>
      <c r="E119" s="1038"/>
      <c r="F119" s="1038"/>
      <c r="G119" s="1038"/>
      <c r="H119" s="1045">
        <v>91870</v>
      </c>
      <c r="I119" s="1046"/>
      <c r="J119" s="1035">
        <f>2421596-2112320</f>
        <v>309276</v>
      </c>
    </row>
    <row r="120" spans="1:16">
      <c r="A120" s="1044"/>
      <c r="B120" s="1075" t="s">
        <v>3180</v>
      </c>
      <c r="C120" s="1075"/>
      <c r="D120" s="1045">
        <f>3161290.17+1000000-5680-303596</f>
        <v>3852014.17</v>
      </c>
      <c r="E120" s="1038"/>
      <c r="F120" s="1038"/>
      <c r="G120" s="1038"/>
      <c r="H120" s="1045">
        <v>3231923</v>
      </c>
      <c r="I120" s="1046"/>
    </row>
    <row r="121" spans="1:16">
      <c r="A121" s="1044"/>
      <c r="B121" s="1075" t="s">
        <v>3181</v>
      </c>
      <c r="C121" s="1075"/>
      <c r="D121" s="1045">
        <f>-SUM(D64)</f>
        <v>-2043290.17</v>
      </c>
      <c r="E121" s="1038"/>
      <c r="F121" s="1038"/>
      <c r="G121" s="1038"/>
      <c r="H121" s="1045">
        <v>-3020197</v>
      </c>
      <c r="I121" s="1046"/>
    </row>
    <row r="122" spans="1:16" ht="13.5" thickBot="1">
      <c r="A122" s="1044"/>
      <c r="B122" s="1076" t="s">
        <v>3185</v>
      </c>
      <c r="C122" s="1075"/>
      <c r="D122" s="1077">
        <f>SUM(D119:D121)</f>
        <v>2112320</v>
      </c>
      <c r="E122" s="1038"/>
      <c r="F122" s="1038"/>
      <c r="G122" s="1038"/>
      <c r="H122" s="1077">
        <f>SUM(H119:H121)</f>
        <v>303596</v>
      </c>
      <c r="I122" s="1046"/>
      <c r="J122" s="1035">
        <f>2421596-2237111</f>
        <v>184485</v>
      </c>
    </row>
    <row r="123" spans="1:16" ht="13.5" thickTop="1">
      <c r="A123" s="1044"/>
      <c r="B123" s="1075" t="s">
        <v>3668</v>
      </c>
      <c r="C123" s="1075"/>
      <c r="D123" s="1045"/>
      <c r="E123" s="1038"/>
      <c r="F123" s="1038"/>
      <c r="G123" s="1038"/>
      <c r="H123" s="1045"/>
      <c r="I123" s="1046"/>
      <c r="J123" s="1035">
        <f>2421596-2112320</f>
        <v>309276</v>
      </c>
    </row>
    <row r="124" spans="1:16" s="1089" customFormat="1" ht="63.75">
      <c r="A124" s="1086"/>
      <c r="B124" s="1060" t="s">
        <v>2914</v>
      </c>
      <c r="C124" s="1060"/>
      <c r="D124" s="1060"/>
      <c r="E124" s="1060"/>
      <c r="F124" s="1060"/>
      <c r="G124" s="1060"/>
      <c r="H124" s="1060"/>
      <c r="I124" s="1087"/>
      <c r="J124" s="1088">
        <f>2112320-2118000</f>
        <v>-5680</v>
      </c>
      <c r="K124" s="1088"/>
      <c r="L124" s="1088"/>
      <c r="M124" s="1088"/>
      <c r="P124" s="1088"/>
    </row>
    <row r="125" spans="1:16">
      <c r="A125" s="1044"/>
      <c r="B125" s="1038"/>
      <c r="C125" s="1038"/>
      <c r="D125" s="1045"/>
      <c r="E125" s="1038"/>
      <c r="F125" s="1038"/>
      <c r="G125" s="1038"/>
      <c r="H125" s="1045"/>
      <c r="I125" s="1046"/>
      <c r="J125" s="1035">
        <f>SUM(J123:J124)</f>
        <v>303596</v>
      </c>
    </row>
    <row r="126" spans="1:16" ht="14.25" customHeight="1">
      <c r="A126" s="1044"/>
      <c r="B126" s="1354" t="s">
        <v>2915</v>
      </c>
      <c r="C126" s="1354"/>
      <c r="D126" s="1045"/>
      <c r="E126" s="1038"/>
      <c r="F126" s="1038"/>
      <c r="G126" s="1038"/>
      <c r="H126" s="1045"/>
      <c r="I126" s="1046"/>
    </row>
    <row r="127" spans="1:16">
      <c r="A127" s="1044"/>
      <c r="B127" s="1075" t="s">
        <v>3180</v>
      </c>
      <c r="C127" s="1075"/>
      <c r="D127" s="1045"/>
      <c r="E127" s="1038"/>
      <c r="F127" s="1038"/>
      <c r="G127" s="1038"/>
      <c r="H127" s="1045"/>
      <c r="I127" s="1046"/>
    </row>
    <row r="128" spans="1:16">
      <c r="A128" s="1044"/>
      <c r="B128" s="1075" t="s">
        <v>3181</v>
      </c>
      <c r="C128" s="1075"/>
      <c r="D128" s="1045"/>
      <c r="E128" s="1038"/>
      <c r="F128" s="1038"/>
      <c r="G128" s="1038"/>
      <c r="H128" s="1045"/>
      <c r="I128" s="1046"/>
    </row>
    <row r="129" spans="1:16" ht="13.5" thickBot="1">
      <c r="A129" s="1044"/>
      <c r="B129" s="1076" t="s">
        <v>3185</v>
      </c>
      <c r="C129" s="1075"/>
      <c r="D129" s="1077">
        <f>SUM(D127:D128)</f>
        <v>0</v>
      </c>
      <c r="E129" s="1038"/>
      <c r="F129" s="1038"/>
      <c r="G129" s="1038"/>
      <c r="H129" s="1077">
        <f>SUM(H127:H128)</f>
        <v>0</v>
      </c>
      <c r="I129" s="1046"/>
    </row>
    <row r="130" spans="1:16" ht="13.5" thickTop="1">
      <c r="A130" s="1044"/>
      <c r="B130" s="1075" t="s">
        <v>3668</v>
      </c>
      <c r="C130" s="1075"/>
      <c r="D130" s="1045"/>
      <c r="E130" s="1038"/>
      <c r="F130" s="1038"/>
      <c r="G130" s="1038"/>
      <c r="H130" s="1045"/>
      <c r="I130" s="1046"/>
    </row>
    <row r="131" spans="1:16" s="1089" customFormat="1" ht="63.75">
      <c r="A131" s="1086"/>
      <c r="B131" s="1060" t="s">
        <v>2916</v>
      </c>
      <c r="C131" s="1060"/>
      <c r="D131" s="1060"/>
      <c r="E131" s="1060"/>
      <c r="F131" s="1060"/>
      <c r="G131" s="1060"/>
      <c r="H131" s="1060"/>
      <c r="I131" s="1087"/>
      <c r="J131" s="1088"/>
      <c r="K131" s="1088"/>
      <c r="L131" s="1088"/>
      <c r="M131" s="1088"/>
      <c r="P131" s="1088"/>
    </row>
    <row r="132" spans="1:16">
      <c r="A132" s="1044"/>
      <c r="B132" s="1038"/>
      <c r="C132" s="1038"/>
      <c r="D132" s="1045"/>
      <c r="E132" s="1038"/>
      <c r="F132" s="1038"/>
      <c r="G132" s="1038"/>
      <c r="H132" s="1045"/>
      <c r="I132" s="1046"/>
    </row>
    <row r="133" spans="1:16">
      <c r="A133" s="1044"/>
      <c r="B133" s="1078" t="s">
        <v>2917</v>
      </c>
      <c r="C133" s="1038"/>
      <c r="D133" s="1045"/>
      <c r="E133" s="1038"/>
      <c r="F133" s="1038"/>
      <c r="G133" s="1038"/>
      <c r="H133" s="1045"/>
      <c r="I133" s="1046"/>
    </row>
    <row r="134" spans="1:16">
      <c r="A134" s="1044"/>
      <c r="B134" s="1075" t="s">
        <v>3180</v>
      </c>
      <c r="C134" s="1038"/>
      <c r="D134" s="1045"/>
      <c r="E134" s="1038"/>
      <c r="F134" s="1038"/>
      <c r="G134" s="1038"/>
      <c r="H134" s="1045"/>
      <c r="I134" s="1046"/>
    </row>
    <row r="135" spans="1:16">
      <c r="A135" s="1044"/>
      <c r="B135" s="1075" t="s">
        <v>3181</v>
      </c>
      <c r="C135" s="1038"/>
      <c r="D135" s="1045"/>
      <c r="E135" s="1038"/>
      <c r="F135" s="1038"/>
      <c r="G135" s="1038"/>
      <c r="H135" s="1045"/>
      <c r="I135" s="1046"/>
    </row>
    <row r="136" spans="1:16" ht="13.5" thickBot="1">
      <c r="A136" s="1044"/>
      <c r="B136" s="1076" t="s">
        <v>3185</v>
      </c>
      <c r="C136" s="1038"/>
      <c r="D136" s="1077">
        <f>SUM(D134:D135)</f>
        <v>0</v>
      </c>
      <c r="E136" s="1038"/>
      <c r="F136" s="1038"/>
      <c r="G136" s="1038"/>
      <c r="H136" s="1077">
        <f>SUM(H134:H135)</f>
        <v>0</v>
      </c>
      <c r="I136" s="1046"/>
    </row>
    <row r="137" spans="1:16" ht="13.5" thickTop="1">
      <c r="A137" s="1044"/>
      <c r="B137" s="1075" t="s">
        <v>3668</v>
      </c>
      <c r="C137" s="1038"/>
      <c r="D137" s="1045"/>
      <c r="E137" s="1038"/>
      <c r="F137" s="1038"/>
      <c r="G137" s="1038"/>
      <c r="H137" s="1045"/>
      <c r="I137" s="1046"/>
    </row>
    <row r="138" spans="1:16" s="1089" customFormat="1" ht="38.25">
      <c r="A138" s="1086"/>
      <c r="B138" s="1060" t="s">
        <v>550</v>
      </c>
      <c r="C138" s="1060"/>
      <c r="D138" s="1060"/>
      <c r="E138" s="1060"/>
      <c r="F138" s="1060"/>
      <c r="G138" s="1060"/>
      <c r="H138" s="1060"/>
      <c r="I138" s="1087"/>
      <c r="J138" s="1088"/>
      <c r="K138" s="1088"/>
      <c r="L138" s="1088"/>
      <c r="M138" s="1088"/>
      <c r="P138" s="1088"/>
    </row>
    <row r="139" spans="1:16">
      <c r="A139" s="1044"/>
      <c r="B139" s="1038"/>
      <c r="C139" s="1038"/>
      <c r="D139" s="1045"/>
      <c r="E139" s="1038"/>
      <c r="F139" s="1038"/>
      <c r="G139" s="1038"/>
      <c r="H139" s="1045"/>
      <c r="I139" s="1046"/>
    </row>
    <row r="140" spans="1:16" ht="25.5">
      <c r="A140" s="1044"/>
      <c r="B140" s="1078" t="s">
        <v>551</v>
      </c>
      <c r="C140" s="1038"/>
      <c r="D140" s="1045"/>
      <c r="E140" s="1038"/>
      <c r="F140" s="1038"/>
      <c r="G140" s="1038"/>
      <c r="H140" s="1045"/>
      <c r="I140" s="1046"/>
    </row>
    <row r="141" spans="1:16">
      <c r="A141" s="1044"/>
      <c r="B141" s="1075" t="s">
        <v>3180</v>
      </c>
      <c r="C141" s="1038"/>
      <c r="D141" s="1045">
        <f>SUM(D56)</f>
        <v>567000</v>
      </c>
      <c r="E141" s="1038"/>
      <c r="F141" s="1038"/>
      <c r="G141" s="1038"/>
      <c r="H141" s="1045">
        <v>5979200</v>
      </c>
      <c r="I141" s="1046"/>
    </row>
    <row r="142" spans="1:16">
      <c r="A142" s="1044"/>
      <c r="B142" s="1075" t="s">
        <v>3181</v>
      </c>
      <c r="C142" s="1038"/>
      <c r="D142" s="1045">
        <v>-567000</v>
      </c>
      <c r="E142" s="1038"/>
      <c r="F142" s="1038"/>
      <c r="G142" s="1038"/>
      <c r="H142" s="1045">
        <v>-5979200</v>
      </c>
      <c r="I142" s="1046"/>
    </row>
    <row r="143" spans="1:16" ht="13.5" thickBot="1">
      <c r="A143" s="1044"/>
      <c r="B143" s="1076" t="s">
        <v>3185</v>
      </c>
      <c r="C143" s="1038"/>
      <c r="D143" s="1077">
        <f>SUM(D141:D142)</f>
        <v>0</v>
      </c>
      <c r="E143" s="1038"/>
      <c r="F143" s="1038"/>
      <c r="G143" s="1038"/>
      <c r="H143" s="1077">
        <f>SUM(H141:H142)</f>
        <v>0</v>
      </c>
      <c r="I143" s="1046"/>
    </row>
    <row r="144" spans="1:16" ht="13.5" thickTop="1">
      <c r="A144" s="1044"/>
      <c r="B144" s="1075" t="s">
        <v>3668</v>
      </c>
      <c r="C144" s="1038"/>
      <c r="D144" s="1045"/>
      <c r="E144" s="1038"/>
      <c r="F144" s="1038"/>
      <c r="G144" s="1038"/>
      <c r="H144" s="1045"/>
      <c r="I144" s="1046"/>
    </row>
    <row r="145" spans="1:16" s="1089" customFormat="1" ht="51">
      <c r="A145" s="1086"/>
      <c r="B145" s="1060" t="s">
        <v>552</v>
      </c>
      <c r="C145" s="1060"/>
      <c r="D145" s="1060"/>
      <c r="E145" s="1060"/>
      <c r="F145" s="1060"/>
      <c r="G145" s="1060"/>
      <c r="H145" s="1060"/>
      <c r="I145" s="1087"/>
      <c r="J145" s="1088"/>
      <c r="K145" s="1088"/>
      <c r="L145" s="1088"/>
      <c r="M145" s="1088"/>
      <c r="P145" s="1088"/>
    </row>
    <row r="146" spans="1:16">
      <c r="A146" s="1062"/>
      <c r="B146" s="1063"/>
      <c r="C146" s="1063"/>
      <c r="D146" s="1064"/>
      <c r="E146" s="1063"/>
      <c r="F146" s="1063"/>
      <c r="G146" s="1063"/>
      <c r="H146" s="1064"/>
      <c r="I146" s="1065"/>
    </row>
    <row r="147" spans="1:16">
      <c r="A147" s="1066"/>
      <c r="B147" s="1042"/>
      <c r="C147" s="1042"/>
      <c r="D147" s="1041"/>
      <c r="E147" s="1042"/>
      <c r="F147" s="1042"/>
      <c r="G147" s="1042"/>
      <c r="H147" s="1041"/>
      <c r="I147" s="1043"/>
      <c r="N147" s="1035"/>
    </row>
    <row r="148" spans="1:16">
      <c r="A148" s="1044"/>
      <c r="B148" s="1067"/>
      <c r="C148" s="1067"/>
      <c r="D148" s="1068" t="s">
        <v>2241</v>
      </c>
      <c r="E148" s="1067"/>
      <c r="F148" s="1067"/>
      <c r="G148" s="1067"/>
      <c r="H148" s="1068" t="s">
        <v>3558</v>
      </c>
      <c r="I148" s="1069"/>
      <c r="N148" s="1035"/>
    </row>
    <row r="149" spans="1:16">
      <c r="A149" s="1044"/>
      <c r="B149" s="1067"/>
      <c r="C149" s="1067"/>
      <c r="D149" s="1071" t="s">
        <v>3386</v>
      </c>
      <c r="E149" s="1067"/>
      <c r="F149" s="1067"/>
      <c r="G149" s="1067"/>
      <c r="H149" s="1071" t="s">
        <v>3386</v>
      </c>
      <c r="I149" s="1069"/>
      <c r="N149" s="1035"/>
    </row>
    <row r="150" spans="1:16" ht="38.25">
      <c r="A150" s="1072" t="s">
        <v>1000</v>
      </c>
      <c r="B150" s="1076" t="s">
        <v>553</v>
      </c>
      <c r="C150" s="1047"/>
      <c r="D150" s="1045"/>
      <c r="E150" s="1038"/>
      <c r="F150" s="1038"/>
      <c r="G150" s="1038"/>
      <c r="H150" s="1045"/>
      <c r="I150" s="1058"/>
      <c r="N150" s="1035"/>
    </row>
    <row r="151" spans="1:16">
      <c r="A151" s="1044"/>
      <c r="B151" s="1075" t="s">
        <v>3424</v>
      </c>
      <c r="C151" s="1038"/>
      <c r="D151" s="1045"/>
      <c r="E151" s="1038"/>
      <c r="F151" s="1038"/>
      <c r="G151" s="1038"/>
      <c r="H151" s="1045"/>
      <c r="I151" s="1046"/>
      <c r="N151" s="1035"/>
    </row>
    <row r="152" spans="1:16">
      <c r="A152" s="1044"/>
      <c r="B152" s="1075" t="s">
        <v>554</v>
      </c>
      <c r="C152" s="1038"/>
      <c r="D152" s="1045"/>
      <c r="E152" s="1038"/>
      <c r="F152" s="1038"/>
      <c r="G152" s="1038"/>
      <c r="H152" s="1045"/>
      <c r="I152" s="1046"/>
      <c r="N152" s="1035"/>
    </row>
    <row r="153" spans="1:16">
      <c r="A153" s="1044"/>
      <c r="B153" s="1075" t="s">
        <v>555</v>
      </c>
      <c r="C153" s="1038"/>
      <c r="D153" s="1045"/>
      <c r="E153" s="1038"/>
      <c r="F153" s="1038"/>
      <c r="G153" s="1038"/>
      <c r="H153" s="1045"/>
      <c r="I153" s="1046"/>
      <c r="N153" s="1035"/>
    </row>
    <row r="154" spans="1:16" ht="13.5" thickBot="1">
      <c r="A154" s="1044"/>
      <c r="B154" s="1076" t="s">
        <v>556</v>
      </c>
      <c r="C154" s="1038"/>
      <c r="D154" s="1077">
        <f>SUM(D151:D153)</f>
        <v>0</v>
      </c>
      <c r="E154" s="1047"/>
      <c r="F154" s="1047"/>
      <c r="G154" s="1047"/>
      <c r="H154" s="1077">
        <f>SUM(H151:H153)</f>
        <v>0</v>
      </c>
      <c r="I154" s="1046"/>
      <c r="N154" s="1035"/>
    </row>
    <row r="155" spans="1:16" ht="13.5" thickTop="1">
      <c r="A155" s="1062"/>
      <c r="B155" s="1063"/>
      <c r="C155" s="1063"/>
      <c r="D155" s="1064"/>
      <c r="E155" s="1063"/>
      <c r="F155" s="1063"/>
      <c r="G155" s="1063"/>
      <c r="H155" s="1064"/>
      <c r="I155" s="1065"/>
      <c r="N155" s="1035"/>
    </row>
    <row r="156" spans="1:16">
      <c r="A156" s="1066"/>
      <c r="B156" s="1042"/>
      <c r="C156" s="1042"/>
      <c r="D156" s="1041"/>
      <c r="E156" s="1042"/>
      <c r="F156" s="1042"/>
      <c r="G156" s="1042"/>
      <c r="H156" s="1041"/>
      <c r="I156" s="1043"/>
      <c r="N156" s="1035"/>
    </row>
    <row r="157" spans="1:16">
      <c r="A157" s="1072" t="s">
        <v>1001</v>
      </c>
      <c r="B157" s="1076" t="s">
        <v>3442</v>
      </c>
      <c r="C157" s="1038"/>
      <c r="D157" s="1095"/>
      <c r="E157" s="1096"/>
      <c r="F157" s="1096"/>
      <c r="G157" s="1096"/>
      <c r="H157" s="1095"/>
      <c r="I157" s="1046"/>
      <c r="N157" s="1035"/>
    </row>
    <row r="158" spans="1:16">
      <c r="A158" s="1044"/>
      <c r="B158" s="1076" t="s">
        <v>557</v>
      </c>
      <c r="C158" s="1038"/>
      <c r="D158" s="1071">
        <f>SUM(D159:D160)</f>
        <v>549044.5</v>
      </c>
      <c r="E158" s="1096"/>
      <c r="F158" s="1096"/>
      <c r="G158" s="1096"/>
      <c r="H158" s="1071">
        <f>SUM(H159:H160)</f>
        <v>38079</v>
      </c>
      <c r="I158" s="1046"/>
      <c r="N158" s="1035"/>
    </row>
    <row r="159" spans="1:16">
      <c r="A159" s="1044"/>
      <c r="B159" s="1075" t="s">
        <v>558</v>
      </c>
      <c r="C159" s="1047"/>
      <c r="D159" s="1052"/>
      <c r="E159" s="1038"/>
      <c r="F159" s="1038"/>
      <c r="G159" s="1038"/>
      <c r="H159" s="1052"/>
      <c r="I159" s="1058"/>
      <c r="N159" s="1035"/>
    </row>
    <row r="160" spans="1:16">
      <c r="A160" s="1044"/>
      <c r="B160" s="1075" t="s">
        <v>559</v>
      </c>
      <c r="C160" s="1038"/>
      <c r="D160" s="1097">
        <f>-SUM('TRAIL BALANCE'!C222)</f>
        <v>549044.5</v>
      </c>
      <c r="E160" s="1038"/>
      <c r="F160" s="1038"/>
      <c r="G160" s="1038"/>
      <c r="H160" s="1097">
        <v>38079</v>
      </c>
      <c r="I160" s="1046"/>
      <c r="N160" s="1035"/>
    </row>
    <row r="161" spans="1:14">
      <c r="A161" s="1062"/>
      <c r="B161" s="1098"/>
      <c r="C161" s="1063"/>
      <c r="D161" s="1064"/>
      <c r="E161" s="1063"/>
      <c r="F161" s="1063"/>
      <c r="G161" s="1063"/>
      <c r="H161" s="1064"/>
      <c r="I161" s="1065"/>
      <c r="N161" s="1035"/>
    </row>
    <row r="162" spans="1:14">
      <c r="A162" s="1044"/>
      <c r="B162" s="1078"/>
      <c r="C162" s="1038"/>
      <c r="D162" s="1045"/>
      <c r="E162" s="1038"/>
      <c r="F162" s="1038"/>
      <c r="G162" s="1038"/>
      <c r="H162" s="1045"/>
      <c r="I162" s="1046"/>
      <c r="N162" s="1035"/>
    </row>
    <row r="163" spans="1:14">
      <c r="A163" s="1072" t="s">
        <v>1002</v>
      </c>
      <c r="B163" s="1076" t="s">
        <v>3444</v>
      </c>
      <c r="C163" s="1038"/>
      <c r="D163" s="1059">
        <f>SUM(D164:D167)+D172</f>
        <v>1047510.51</v>
      </c>
      <c r="E163" s="1038"/>
      <c r="F163" s="1038"/>
      <c r="G163" s="1038"/>
      <c r="H163" s="1059">
        <f>SUM(H164:H167)+H172</f>
        <v>1004241.39</v>
      </c>
      <c r="I163" s="1046"/>
      <c r="N163" s="1035"/>
    </row>
    <row r="164" spans="1:14">
      <c r="A164" s="1044"/>
      <c r="B164" s="1075" t="s">
        <v>560</v>
      </c>
      <c r="C164" s="1038"/>
      <c r="D164" s="1045"/>
      <c r="E164" s="1038"/>
      <c r="F164" s="1038"/>
      <c r="G164" s="1038"/>
      <c r="H164" s="1045"/>
      <c r="I164" s="1046"/>
      <c r="N164" s="1035"/>
    </row>
    <row r="165" spans="1:14">
      <c r="A165" s="1044"/>
      <c r="B165" s="1075" t="s">
        <v>1137</v>
      </c>
      <c r="C165" s="1038"/>
      <c r="D165" s="1045">
        <f>-SUM('TRAIL BALANCE'!C224)</f>
        <v>1047510.51</v>
      </c>
      <c r="E165" s="1038"/>
      <c r="F165" s="1038"/>
      <c r="G165" s="1038"/>
      <c r="H165" s="1045">
        <f>1042320.39-38079</f>
        <v>1004241.39</v>
      </c>
      <c r="I165" s="1046"/>
      <c r="N165" s="1035"/>
    </row>
    <row r="166" spans="1:14">
      <c r="A166" s="1044"/>
      <c r="B166" s="1075" t="s">
        <v>3392</v>
      </c>
      <c r="C166" s="1038"/>
      <c r="D166" s="1045"/>
      <c r="E166" s="1038"/>
      <c r="F166" s="1038"/>
      <c r="G166" s="1038"/>
      <c r="H166" s="1045"/>
      <c r="I166" s="1046"/>
      <c r="N166" s="1035"/>
    </row>
    <row r="167" spans="1:14">
      <c r="A167" s="1044"/>
      <c r="B167" s="1075" t="s">
        <v>561</v>
      </c>
      <c r="C167" s="1038"/>
      <c r="D167" s="1045">
        <f>SUM(D168:D171)</f>
        <v>0</v>
      </c>
      <c r="E167" s="1038"/>
      <c r="F167" s="1038"/>
      <c r="G167" s="1038"/>
      <c r="H167" s="1045">
        <f>SUM(H168:H171)</f>
        <v>0</v>
      </c>
      <c r="I167" s="1046"/>
      <c r="N167" s="1035"/>
    </row>
    <row r="168" spans="1:14">
      <c r="A168" s="1044"/>
      <c r="B168" s="1051" t="s">
        <v>1609</v>
      </c>
      <c r="C168" s="1038"/>
      <c r="D168" s="1052"/>
      <c r="E168" s="1038"/>
      <c r="F168" s="1038"/>
      <c r="G168" s="1038"/>
      <c r="H168" s="1052"/>
      <c r="I168" s="1046"/>
      <c r="N168" s="1035"/>
    </row>
    <row r="169" spans="1:14">
      <c r="A169" s="1044"/>
      <c r="B169" s="1051" t="s">
        <v>1611</v>
      </c>
      <c r="C169" s="1038"/>
      <c r="D169" s="1054"/>
      <c r="E169" s="1038"/>
      <c r="F169" s="1038"/>
      <c r="G169" s="1038"/>
      <c r="H169" s="1054"/>
      <c r="I169" s="1046"/>
      <c r="N169" s="1035"/>
    </row>
    <row r="170" spans="1:14">
      <c r="A170" s="1044"/>
      <c r="B170" s="1051" t="s">
        <v>1610</v>
      </c>
      <c r="C170" s="1038"/>
      <c r="D170" s="1054"/>
      <c r="E170" s="1038"/>
      <c r="F170" s="1038"/>
      <c r="G170" s="1038"/>
      <c r="H170" s="1054"/>
      <c r="I170" s="1046"/>
      <c r="N170" s="1035"/>
    </row>
    <row r="171" spans="1:14">
      <c r="A171" s="1044"/>
      <c r="B171" s="1051" t="s">
        <v>1612</v>
      </c>
      <c r="C171" s="1038"/>
      <c r="D171" s="1097"/>
      <c r="E171" s="1038"/>
      <c r="F171" s="1038"/>
      <c r="G171" s="1038"/>
      <c r="H171" s="1097"/>
      <c r="I171" s="1046"/>
      <c r="N171" s="1035"/>
    </row>
    <row r="172" spans="1:14">
      <c r="A172" s="1044"/>
      <c r="B172" s="1075" t="s">
        <v>1607</v>
      </c>
      <c r="C172" s="1038"/>
      <c r="D172" s="1045"/>
      <c r="E172" s="1038"/>
      <c r="F172" s="1038"/>
      <c r="G172" s="1038"/>
      <c r="H172" s="1045"/>
      <c r="I172" s="1046"/>
      <c r="N172" s="1035"/>
    </row>
    <row r="173" spans="1:14" ht="13.5" thickBot="1">
      <c r="A173" s="1044"/>
      <c r="B173" s="1076" t="s">
        <v>562</v>
      </c>
      <c r="C173" s="1038"/>
      <c r="D173" s="1077">
        <f>D163+D158</f>
        <v>1596555.01</v>
      </c>
      <c r="E173" s="1038"/>
      <c r="F173" s="1038"/>
      <c r="G173" s="1038"/>
      <c r="H173" s="1077">
        <f>H163+H158</f>
        <v>1042320.39</v>
      </c>
      <c r="I173" s="1046"/>
      <c r="N173" s="1035"/>
    </row>
    <row r="174" spans="1:14" ht="13.5" thickTop="1">
      <c r="A174" s="1044"/>
      <c r="B174" s="1051"/>
      <c r="C174" s="1038"/>
      <c r="D174" s="1045"/>
      <c r="E174" s="1038"/>
      <c r="F174" s="1038"/>
      <c r="G174" s="1038"/>
      <c r="H174" s="1045"/>
      <c r="I174" s="1046"/>
      <c r="N174" s="1035"/>
    </row>
    <row r="175" spans="1:14">
      <c r="A175" s="1086"/>
      <c r="B175" s="1060"/>
      <c r="C175" s="1060"/>
      <c r="D175" s="1060"/>
      <c r="E175" s="1060"/>
      <c r="F175" s="1060"/>
      <c r="G175" s="1060"/>
      <c r="H175" s="1060"/>
      <c r="I175" s="1087"/>
      <c r="N175" s="1035"/>
    </row>
    <row r="176" spans="1:14">
      <c r="A176" s="1062"/>
      <c r="B176" s="1063"/>
      <c r="C176" s="1063"/>
      <c r="D176" s="1064"/>
      <c r="E176" s="1063"/>
      <c r="F176" s="1063"/>
      <c r="G176" s="1063"/>
      <c r="H176" s="1064"/>
      <c r="I176" s="1065"/>
      <c r="N176" s="1035"/>
    </row>
    <row r="177" spans="1:14">
      <c r="A177" s="1066"/>
      <c r="B177" s="1042"/>
      <c r="C177" s="1042"/>
      <c r="D177" s="1041"/>
      <c r="E177" s="1042"/>
      <c r="F177" s="1042"/>
      <c r="G177" s="1042"/>
      <c r="H177" s="1041"/>
      <c r="I177" s="1043"/>
      <c r="N177" s="1035"/>
    </row>
    <row r="178" spans="1:14">
      <c r="A178" s="1072" t="s">
        <v>1003</v>
      </c>
      <c r="B178" s="1076" t="s">
        <v>563</v>
      </c>
      <c r="C178" s="1038"/>
      <c r="D178" s="1064"/>
      <c r="E178" s="1038"/>
      <c r="F178" s="1038"/>
      <c r="G178" s="1038"/>
      <c r="H178" s="1064"/>
      <c r="I178" s="1046"/>
      <c r="N178" s="1035"/>
    </row>
    <row r="179" spans="1:14">
      <c r="A179" s="1044"/>
      <c r="B179" s="1075" t="s">
        <v>3242</v>
      </c>
      <c r="C179" s="1038"/>
      <c r="D179" s="1054">
        <f>-SUM('TRAIL BALANCE'!C174+'TRAIL BALANCE'!C365)</f>
        <v>92810.73000000001</v>
      </c>
      <c r="E179" s="1038"/>
      <c r="F179" s="1038"/>
      <c r="G179" s="1038"/>
      <c r="H179" s="1054">
        <v>82961.710000000006</v>
      </c>
      <c r="I179" s="1046"/>
      <c r="N179" s="1035"/>
    </row>
    <row r="180" spans="1:14">
      <c r="A180" s="1044"/>
      <c r="B180" s="1075" t="s">
        <v>3243</v>
      </c>
      <c r="C180" s="1038"/>
      <c r="D180" s="1054">
        <f>-SUM('TRAIL BALANCE'!C10)</f>
        <v>56950.080000000002</v>
      </c>
      <c r="E180" s="1038"/>
      <c r="F180" s="1038"/>
      <c r="G180" s="1038"/>
      <c r="H180" s="1054">
        <v>97336</v>
      </c>
      <c r="I180" s="1046"/>
      <c r="N180" s="1035"/>
    </row>
    <row r="181" spans="1:14">
      <c r="A181" s="1044"/>
      <c r="B181" s="1075" t="s">
        <v>3392</v>
      </c>
      <c r="C181" s="1038"/>
      <c r="D181" s="1054">
        <f>-SUM('TRAIL BALANCE'!C450)</f>
        <v>21728153.940000001</v>
      </c>
      <c r="E181" s="1038"/>
      <c r="F181" s="1038"/>
      <c r="G181" s="1038"/>
      <c r="H181" s="1054">
        <v>0</v>
      </c>
      <c r="I181" s="1046"/>
      <c r="N181" s="1035"/>
    </row>
    <row r="182" spans="1:14">
      <c r="A182" s="1044"/>
      <c r="B182" s="1075" t="s">
        <v>1530</v>
      </c>
      <c r="C182" s="1038"/>
      <c r="D182" s="1054">
        <f>-SUM('TRAIL BALANCE'!C514)</f>
        <v>0.4</v>
      </c>
      <c r="E182" s="1038"/>
      <c r="F182" s="1038"/>
      <c r="G182" s="1038"/>
      <c r="H182" s="1054">
        <v>144376.98000000001</v>
      </c>
      <c r="I182" s="1046"/>
      <c r="N182" s="1035"/>
    </row>
    <row r="183" spans="1:14">
      <c r="A183" s="1044"/>
      <c r="B183" s="1075" t="s">
        <v>1453</v>
      </c>
      <c r="C183" s="1038"/>
      <c r="D183" s="1054">
        <f>-'TRAIL BALANCE'!C225</f>
        <v>25302.05</v>
      </c>
      <c r="E183" s="1038"/>
      <c r="F183" s="1038"/>
      <c r="G183" s="1038"/>
      <c r="H183" s="1054">
        <v>14736.05</v>
      </c>
      <c r="I183" s="1046"/>
      <c r="N183" s="1035"/>
    </row>
    <row r="184" spans="1:14">
      <c r="A184" s="1044"/>
      <c r="B184" s="1075" t="s">
        <v>1454</v>
      </c>
      <c r="C184" s="1038"/>
      <c r="D184" s="1097">
        <f>-'TRAIL BALANCE'!C454</f>
        <v>78426.62</v>
      </c>
      <c r="E184" s="1038"/>
      <c r="F184" s="1038"/>
      <c r="G184" s="1038"/>
      <c r="H184" s="1097">
        <v>68697.75</v>
      </c>
      <c r="I184" s="1046"/>
      <c r="N184" s="1035"/>
    </row>
    <row r="185" spans="1:14">
      <c r="A185" s="1044"/>
      <c r="B185" s="1075"/>
      <c r="C185" s="1038"/>
      <c r="D185" s="1045"/>
      <c r="E185" s="1038"/>
      <c r="F185" s="1038"/>
      <c r="G185" s="1038"/>
      <c r="H185" s="1045"/>
      <c r="I185" s="1046"/>
      <c r="N185" s="1035"/>
    </row>
    <row r="186" spans="1:14" ht="13.5" thickBot="1">
      <c r="A186" s="1044"/>
      <c r="B186" s="1076" t="s">
        <v>2384</v>
      </c>
      <c r="C186" s="1038"/>
      <c r="D186" s="1077">
        <f>SUM(D179:D184)</f>
        <v>21981643.82</v>
      </c>
      <c r="E186" s="1038"/>
      <c r="F186" s="1038"/>
      <c r="G186" s="1038"/>
      <c r="H186" s="1077">
        <f>SUM(H179:H184)</f>
        <v>408108.49000000005</v>
      </c>
      <c r="I186" s="1046"/>
      <c r="N186" s="1035"/>
    </row>
    <row r="187" spans="1:14" ht="13.5" thickTop="1">
      <c r="A187" s="1062"/>
      <c r="B187" s="1063"/>
      <c r="C187" s="1063"/>
      <c r="D187" s="1064"/>
      <c r="E187" s="1063"/>
      <c r="F187" s="1063"/>
      <c r="G187" s="1063"/>
      <c r="H187" s="1064"/>
      <c r="I187" s="1065"/>
      <c r="N187" s="1035"/>
    </row>
    <row r="188" spans="1:14">
      <c r="A188" s="1066"/>
      <c r="B188" s="1042"/>
      <c r="C188" s="1042"/>
      <c r="D188" s="1041"/>
      <c r="E188" s="1042"/>
      <c r="F188" s="1042"/>
      <c r="G188" s="1042"/>
      <c r="H188" s="1041"/>
      <c r="I188" s="1043"/>
      <c r="N188" s="1035"/>
    </row>
    <row r="189" spans="1:14">
      <c r="A189" s="1044"/>
      <c r="B189" s="1038"/>
      <c r="C189" s="1038"/>
      <c r="D189" s="1068" t="s">
        <v>2241</v>
      </c>
      <c r="E189" s="1067"/>
      <c r="F189" s="1067"/>
      <c r="G189" s="1067"/>
      <c r="H189" s="1068" t="s">
        <v>3558</v>
      </c>
      <c r="I189" s="1046"/>
      <c r="N189" s="1035"/>
    </row>
    <row r="190" spans="1:14">
      <c r="A190" s="1044"/>
      <c r="B190" s="1038"/>
      <c r="C190" s="1038"/>
      <c r="D190" s="1071" t="s">
        <v>3386</v>
      </c>
      <c r="E190" s="1067"/>
      <c r="F190" s="1067"/>
      <c r="G190" s="1067"/>
      <c r="H190" s="1071" t="s">
        <v>3386</v>
      </c>
      <c r="I190" s="1046"/>
      <c r="N190" s="1035"/>
    </row>
    <row r="191" spans="1:14">
      <c r="A191" s="1072" t="s">
        <v>1004</v>
      </c>
      <c r="B191" s="1076" t="s">
        <v>564</v>
      </c>
      <c r="C191" s="1038"/>
      <c r="D191" s="1045"/>
      <c r="E191" s="1038"/>
      <c r="F191" s="1038"/>
      <c r="G191" s="1038"/>
      <c r="H191" s="1045"/>
      <c r="I191" s="1046"/>
      <c r="N191" s="1035"/>
    </row>
    <row r="192" spans="1:14">
      <c r="A192" s="1044"/>
      <c r="B192" s="1075" t="s">
        <v>565</v>
      </c>
      <c r="C192" s="1038"/>
      <c r="D192" s="1045">
        <f>SUM('TRAIL BALANCE'!C15)+SUM('TRAIL BALANCE'!C66:C69)+SUM('TRAIL BALANCE'!C72)+SUM('TRAIL BALANCE'!C78)+SUM('TRAIL BALANCE'!C137:C140)+SUM('TRAIL BALANCE'!C143:C144)+SUM('TRAIL BALANCE'!C149)+SUM('TRAIL BALANCE'!C176:C177)+SUM('TRAIL BALANCE'!C184)+SUM('TRAIL BALANCE'!C200:C202)+SUM('TRAIL BALANCE'!C208)+SUM('TRAIL BALANCE'!C227:C231)+SUM('TRAIL BALANCE'!C233:C234)+SUM('TRAIL BALANCE'!C239)+SUM('TRAIL BALANCE'!C270:C272)+SUM('TRAIL BALANCE'!C277)+SUM('TRAIL BALANCE'!C284:C286)+SUM('TRAIL BALANCE'!C288)+SUM('TRAIL BALANCE'!C293)+SUM('TRAIL BALANCE'!C305:C308)+SUM('TRAIL BALANCE'!C310)+SUM('TRAIL BALANCE'!C315)+SUM('TRAIL BALANCE'!C342:C346)+SUM('TRAIL BALANCE'!C352)+SUM('TRAIL BALANCE'!C368:C370)+SUM('TRAIL BALANCE'!C375)+SUM('TRAIL BALANCE'!C389:C394)+SUM('TRAIL BALANCE'!C400)+SUM('TRAIL BALANCE'!C421:C425)+SUM('TRAIL BALANCE'!C427)+SUM('TRAIL BALANCE'!C432)+SUM('TRAIL BALANCE'!C457:C462)+SUM('TRAIL BALANCE'!C464)+SUM('TRAIL BALANCE'!C469)+SUM('TRAIL BALANCE'!C523:C528)+SUM('TRAIL BALANCE'!C534)+SUM('TRAIL BALANCE'!C617:C622)+SUM('TRAIL BALANCE'!C624:C625)+SUM('TRAIL BALANCE'!C630)</f>
        <v>16853482.479999997</v>
      </c>
      <c r="E192" s="1038"/>
      <c r="F192" s="1038"/>
      <c r="G192" s="1038"/>
      <c r="H192" s="1045">
        <v>18620751.469999999</v>
      </c>
      <c r="I192" s="1046"/>
      <c r="N192" s="1035"/>
    </row>
    <row r="193" spans="1:14">
      <c r="A193" s="1044"/>
      <c r="B193" s="1075" t="s">
        <v>566</v>
      </c>
      <c r="C193" s="1038"/>
      <c r="D193" s="1045">
        <f>SUM(D194:D199)</f>
        <v>3478123.25</v>
      </c>
      <c r="E193" s="1038"/>
      <c r="F193" s="1038"/>
      <c r="G193" s="1038"/>
      <c r="H193" s="1045">
        <f>SUM(H194:H199)</f>
        <v>0</v>
      </c>
      <c r="I193" s="1046"/>
      <c r="N193" s="1035"/>
    </row>
    <row r="194" spans="1:14">
      <c r="A194" s="1044"/>
      <c r="B194" s="1051" t="s">
        <v>567</v>
      </c>
      <c r="C194" s="1038"/>
      <c r="D194" s="1052">
        <f>SUM('TRAIL BALANCE'!C16+'TRAIL BALANCE'!C75+'TRAIL BALANCE'!C100+'TRAIL BALANCE'!C146+'TRAIL BALANCE'!C181+'TRAIL BALANCE'!C205+'TRAIL BALANCE'!C236+'TRAIL BALANCE'!C274+'TRAIL BALANCE'!C290+'TRAIL BALANCE'!C312+'TRAIL BALANCE'!C349+'TRAIL BALANCE'!C372+'TRAIL BALANCE'!C397+'TRAIL BALANCE'!C429+'TRAIL BALANCE'!C466+'TRAIL BALANCE'!C531+'TRAIL BALANCE'!C576+'TRAIL BALANCE'!C627)</f>
        <v>2633438.5099999998</v>
      </c>
      <c r="E194" s="1038"/>
      <c r="F194" s="1038"/>
      <c r="G194" s="1038"/>
      <c r="H194" s="1052"/>
      <c r="I194" s="1046"/>
      <c r="N194" s="1035"/>
    </row>
    <row r="195" spans="1:14">
      <c r="A195" s="1044"/>
      <c r="B195" s="1051" t="s">
        <v>568</v>
      </c>
      <c r="C195" s="1038"/>
      <c r="D195" s="1054">
        <f>SUM('TRAIL BALANCE'!C18+'TRAIL BALANCE'!C21+'TRAIL BALANCE'!C74+'TRAIL BALANCE'!C145+'TRAIL BALANCE'!C180+'TRAIL BALANCE'!C204+'TRAIL BALANCE'!C235+'TRAIL BALANCE'!C273+'TRAIL BALANCE'!C289+'TRAIL BALANCE'!C311+'TRAIL BALANCE'!C348+'TRAIL BALANCE'!C371+'TRAIL BALANCE'!C396+'TRAIL BALANCE'!C428+'TRAIL BALANCE'!C465+'TRAIL BALANCE'!C530+'TRAIL BALANCE'!C575+'TRAIL BALANCE'!C626)</f>
        <v>467825.94</v>
      </c>
      <c r="E195" s="1038"/>
      <c r="F195" s="1038"/>
      <c r="G195" s="1038"/>
      <c r="H195" s="1054"/>
      <c r="I195" s="1046"/>
      <c r="N195" s="1035"/>
    </row>
    <row r="196" spans="1:14">
      <c r="A196" s="1044"/>
      <c r="B196" s="1051" t="s">
        <v>569</v>
      </c>
      <c r="C196" s="1038"/>
      <c r="D196" s="1054">
        <f>SUM('TRAIL BALANCE'!C77+'TRAIL BALANCE'!C148+'TRAIL BALANCE'!C183+'TRAIL BALANCE'!C207+'TRAIL BALANCE'!C238+'TRAIL BALANCE'!C276+'TRAIL BALANCE'!C292+'TRAIL BALANCE'!C314+'TRAIL BALANCE'!C351+'TRAIL BALANCE'!C374+'TRAIL BALANCE'!C399+'TRAIL BALANCE'!C431+'TRAIL BALANCE'!C468+'TRAIL BALANCE'!C533+'TRAIL BALANCE'!C578+'TRAIL BALANCE'!C629)</f>
        <v>104867.65000000002</v>
      </c>
      <c r="E196" s="1038"/>
      <c r="F196" s="1038"/>
      <c r="G196" s="1038"/>
      <c r="H196" s="1054"/>
      <c r="I196" s="1046"/>
      <c r="N196" s="1035"/>
    </row>
    <row r="197" spans="1:14">
      <c r="A197" s="1044"/>
      <c r="B197" s="1051" t="s">
        <v>570</v>
      </c>
      <c r="C197" s="1038"/>
      <c r="D197" s="1054">
        <f>SUM('TRAIL BALANCE'!C71+'TRAIL BALANCE'!C98+'TRAIL BALANCE'!C142+'TRAIL BALANCE'!C179+'TRAIL BALANCE'!C203+'TRAIL BALANCE'!C232+'TRAIL BALANCE'!C287+'TRAIL BALANCE'!C309+'TRAIL BALANCE'!C347+'TRAIL BALANCE'!C395+'TRAIL BALANCE'!C426+'TRAIL BALANCE'!C463+'TRAIL BALANCE'!C529+'TRAIL BALANCE'!C623)</f>
        <v>119161.47</v>
      </c>
      <c r="E197" s="1038"/>
      <c r="F197" s="1038"/>
      <c r="G197" s="1038"/>
      <c r="H197" s="1054"/>
      <c r="I197" s="1046"/>
      <c r="N197" s="1035"/>
    </row>
    <row r="198" spans="1:14">
      <c r="A198" s="1044"/>
      <c r="B198" s="1051" t="s">
        <v>571</v>
      </c>
      <c r="C198" s="1038"/>
      <c r="D198" s="1054">
        <f>SUM('TRAIL BALANCE'!C76+'TRAIL BALANCE'!C101+'TRAIL BALANCE'!C147+'TRAIL BALANCE'!C182+'TRAIL BALANCE'!C206+'TRAIL BALANCE'!C237+'TRAIL BALANCE'!C275+'TRAIL BALANCE'!C291+'TRAIL BALANCE'!C313+'TRAIL BALANCE'!C350+'TRAIL BALANCE'!C373+'TRAIL BALANCE'!C398+'TRAIL BALANCE'!C430+'TRAIL BALANCE'!C467+'TRAIL BALANCE'!C532+'TRAIL BALANCE'!C577+'TRAIL BALANCE'!C628)</f>
        <v>152829.68</v>
      </c>
      <c r="E198" s="1038"/>
      <c r="F198" s="1038"/>
      <c r="G198" s="1038"/>
      <c r="H198" s="1054"/>
      <c r="I198" s="1046"/>
      <c r="N198" s="1035"/>
    </row>
    <row r="199" spans="1:14">
      <c r="A199" s="1044"/>
      <c r="B199" s="1051" t="s">
        <v>1810</v>
      </c>
      <c r="C199" s="1038"/>
      <c r="D199" s="1097">
        <f>SUM('TRAIL BALANCE'!C19)</f>
        <v>0</v>
      </c>
      <c r="E199" s="1038"/>
      <c r="F199" s="1038"/>
      <c r="G199" s="1038"/>
      <c r="H199" s="1097"/>
      <c r="I199" s="1046"/>
      <c r="N199" s="1035"/>
    </row>
    <row r="200" spans="1:14">
      <c r="A200" s="1044"/>
      <c r="B200" s="1075" t="s">
        <v>1811</v>
      </c>
      <c r="C200" s="1038"/>
      <c r="D200" s="1045"/>
      <c r="E200" s="1038"/>
      <c r="F200" s="1038"/>
      <c r="G200" s="1038"/>
      <c r="H200" s="1045"/>
      <c r="I200" s="1046"/>
      <c r="N200" s="1035"/>
    </row>
    <row r="201" spans="1:14">
      <c r="A201" s="1044"/>
      <c r="B201" s="1075" t="s">
        <v>1812</v>
      </c>
      <c r="C201" s="1038"/>
      <c r="D201" s="1045"/>
      <c r="E201" s="1038"/>
      <c r="F201" s="1038"/>
      <c r="G201" s="1038"/>
      <c r="H201" s="1045"/>
      <c r="I201" s="1046"/>
      <c r="N201" s="1035"/>
    </row>
    <row r="202" spans="1:14" ht="13.5" thickBot="1">
      <c r="A202" s="1044"/>
      <c r="B202" s="1076" t="s">
        <v>1813</v>
      </c>
      <c r="C202" s="1038"/>
      <c r="D202" s="1077">
        <f>SUM(D200:D201)+D193+D192</f>
        <v>20331605.729999997</v>
      </c>
      <c r="E202" s="1038"/>
      <c r="F202" s="1038"/>
      <c r="G202" s="1038"/>
      <c r="H202" s="1077">
        <f>SUM(H200:H201)+H193+H192</f>
        <v>18620751.469999999</v>
      </c>
      <c r="I202" s="1046"/>
      <c r="N202" s="1035"/>
    </row>
    <row r="203" spans="1:14" ht="13.5" thickTop="1">
      <c r="A203" s="1044"/>
      <c r="B203" s="1038"/>
      <c r="C203" s="1038"/>
      <c r="D203" s="1045"/>
      <c r="E203" s="1038"/>
      <c r="F203" s="1038"/>
      <c r="G203" s="1038"/>
      <c r="H203" s="1045"/>
      <c r="I203" s="1046"/>
      <c r="N203" s="1035"/>
    </row>
    <row r="204" spans="1:14">
      <c r="A204" s="1044"/>
      <c r="B204" s="1067"/>
      <c r="C204" s="1067"/>
      <c r="D204" s="1038"/>
      <c r="E204" s="1038"/>
      <c r="F204" s="1038"/>
      <c r="G204" s="1038"/>
      <c r="H204" s="1038"/>
      <c r="I204" s="1046"/>
      <c r="N204" s="1035"/>
    </row>
    <row r="205" spans="1:14">
      <c r="A205" s="1044"/>
      <c r="B205" s="1076" t="s">
        <v>1814</v>
      </c>
      <c r="C205" s="1075"/>
      <c r="D205" s="1045"/>
      <c r="E205" s="1038"/>
      <c r="F205" s="1038"/>
      <c r="G205" s="1038"/>
      <c r="H205" s="1045"/>
      <c r="I205" s="1046"/>
      <c r="N205" s="1035"/>
    </row>
    <row r="206" spans="1:14">
      <c r="A206" s="1044"/>
      <c r="B206" s="1190" t="s">
        <v>1815</v>
      </c>
      <c r="C206" s="1075"/>
      <c r="D206" s="1045">
        <f>SUM(D207:D210)</f>
        <v>803803</v>
      </c>
      <c r="E206" s="1038"/>
      <c r="F206" s="1038"/>
      <c r="G206" s="1038"/>
      <c r="H206" s="1045">
        <f>SUM(H207:H210)</f>
        <v>731055</v>
      </c>
      <c r="I206" s="1046"/>
      <c r="N206" s="1035"/>
    </row>
    <row r="207" spans="1:14">
      <c r="A207" s="1044"/>
      <c r="B207" s="1051" t="s">
        <v>1816</v>
      </c>
      <c r="C207" s="1075"/>
      <c r="D207" s="1052">
        <v>523025</v>
      </c>
      <c r="E207" s="1038"/>
      <c r="F207" s="1038"/>
      <c r="G207" s="1038"/>
      <c r="H207" s="1052">
        <v>463145</v>
      </c>
      <c r="I207" s="1046"/>
      <c r="N207" s="1035"/>
    </row>
    <row r="208" spans="1:14">
      <c r="A208" s="1044"/>
      <c r="B208" s="1051" t="s">
        <v>3445</v>
      </c>
      <c r="C208" s="1075"/>
      <c r="D208" s="1054">
        <v>162000</v>
      </c>
      <c r="E208" s="1038"/>
      <c r="F208" s="1038"/>
      <c r="G208" s="1038"/>
      <c r="H208" s="1054">
        <v>162000</v>
      </c>
      <c r="I208" s="1046"/>
      <c r="N208" s="1035"/>
    </row>
    <row r="209" spans="1:14">
      <c r="A209" s="1044"/>
      <c r="B209" s="1051" t="s">
        <v>3446</v>
      </c>
      <c r="C209" s="1075"/>
      <c r="D209" s="1054"/>
      <c r="E209" s="1038"/>
      <c r="F209" s="1038"/>
      <c r="G209" s="1038"/>
      <c r="H209" s="1054">
        <v>105910</v>
      </c>
      <c r="I209" s="1046"/>
      <c r="N209" s="1035"/>
    </row>
    <row r="210" spans="1:14">
      <c r="A210" s="1044"/>
      <c r="B210" s="1051" t="s">
        <v>1817</v>
      </c>
      <c r="C210" s="1075"/>
      <c r="D210" s="1097">
        <v>118778</v>
      </c>
      <c r="E210" s="1038"/>
      <c r="F210" s="1038"/>
      <c r="G210" s="1038"/>
      <c r="H210" s="1097"/>
      <c r="I210" s="1046"/>
      <c r="N210" s="1035"/>
    </row>
    <row r="211" spans="1:14">
      <c r="A211" s="1044"/>
      <c r="B211" s="1189" t="s">
        <v>1570</v>
      </c>
      <c r="C211" s="1075"/>
      <c r="D211" s="1045">
        <f>SUM(D212:D215)</f>
        <v>565314.16999999993</v>
      </c>
      <c r="E211" s="1047"/>
      <c r="F211" s="1047"/>
      <c r="G211" s="1047"/>
      <c r="H211" s="1045">
        <f>SUM(H212:H215)</f>
        <v>492499</v>
      </c>
      <c r="I211" s="1046"/>
      <c r="N211" s="1035"/>
    </row>
    <row r="212" spans="1:14">
      <c r="A212" s="1044"/>
      <c r="B212" s="1051" t="s">
        <v>1816</v>
      </c>
      <c r="C212" s="1075"/>
      <c r="D212" s="1052">
        <v>374485.17</v>
      </c>
      <c r="E212" s="1038"/>
      <c r="F212" s="1038"/>
      <c r="G212" s="1038"/>
      <c r="H212" s="1052">
        <v>297169</v>
      </c>
      <c r="I212" s="1046"/>
      <c r="N212" s="1035"/>
    </row>
    <row r="213" spans="1:14">
      <c r="A213" s="1044"/>
      <c r="B213" s="1051" t="s">
        <v>3445</v>
      </c>
      <c r="C213" s="1075"/>
      <c r="D213" s="1054">
        <v>108000</v>
      </c>
      <c r="E213" s="1038"/>
      <c r="F213" s="1038"/>
      <c r="G213" s="1038"/>
      <c r="H213" s="1054">
        <v>108000</v>
      </c>
      <c r="I213" s="1046"/>
      <c r="N213" s="1035"/>
    </row>
    <row r="214" spans="1:14">
      <c r="A214" s="1044"/>
      <c r="B214" s="1051" t="s">
        <v>3446</v>
      </c>
      <c r="C214" s="1075"/>
      <c r="D214" s="1054"/>
      <c r="E214" s="1038"/>
      <c r="F214" s="1038"/>
      <c r="G214" s="1038"/>
      <c r="H214" s="1054">
        <v>0</v>
      </c>
      <c r="I214" s="1046"/>
      <c r="N214" s="1035"/>
    </row>
    <row r="215" spans="1:14">
      <c r="A215" s="1044"/>
      <c r="B215" s="1051" t="s">
        <v>1817</v>
      </c>
      <c r="C215" s="1075"/>
      <c r="D215" s="1097">
        <v>82829</v>
      </c>
      <c r="E215" s="1038"/>
      <c r="F215" s="1038"/>
      <c r="G215" s="1038"/>
      <c r="H215" s="1097">
        <v>87330</v>
      </c>
      <c r="I215" s="1046"/>
      <c r="N215" s="1035"/>
    </row>
    <row r="216" spans="1:14">
      <c r="A216" s="1044"/>
      <c r="B216" s="1189" t="s">
        <v>1571</v>
      </c>
      <c r="C216" s="1075"/>
      <c r="D216" s="1045">
        <f>SUM(D217:D220)</f>
        <v>473468.96</v>
      </c>
      <c r="E216" s="1038"/>
      <c r="F216" s="1038"/>
      <c r="G216" s="1038"/>
      <c r="H216" s="1045">
        <f>SUM(H217:H220)</f>
        <v>405169</v>
      </c>
      <c r="I216" s="1046"/>
      <c r="N216" s="1035"/>
    </row>
    <row r="217" spans="1:14">
      <c r="A217" s="1044"/>
      <c r="B217" s="1051" t="s">
        <v>1816</v>
      </c>
      <c r="C217" s="1075"/>
      <c r="D217" s="1052">
        <v>323076.96000000002</v>
      </c>
      <c r="E217" s="1038"/>
      <c r="F217" s="1038"/>
      <c r="G217" s="1038"/>
      <c r="H217" s="1052">
        <v>297169</v>
      </c>
      <c r="I217" s="1046"/>
      <c r="N217" s="1035"/>
    </row>
    <row r="218" spans="1:14">
      <c r="A218" s="1044"/>
      <c r="B218" s="1051" t="s">
        <v>3445</v>
      </c>
      <c r="C218" s="1075"/>
      <c r="D218" s="1054">
        <v>108000</v>
      </c>
      <c r="E218" s="1038"/>
      <c r="F218" s="1038"/>
      <c r="G218" s="1038"/>
      <c r="H218" s="1054">
        <v>108000</v>
      </c>
      <c r="I218" s="1046"/>
      <c r="N218" s="1035"/>
    </row>
    <row r="219" spans="1:14">
      <c r="A219" s="1044"/>
      <c r="B219" s="1051" t="s">
        <v>3446</v>
      </c>
      <c r="C219" s="1075"/>
      <c r="D219" s="1054"/>
      <c r="E219" s="1038"/>
      <c r="F219" s="1038"/>
      <c r="G219" s="1038"/>
      <c r="H219" s="1054"/>
      <c r="I219" s="1046"/>
      <c r="N219" s="1035"/>
    </row>
    <row r="220" spans="1:14">
      <c r="A220" s="1044"/>
      <c r="B220" s="1051" t="s">
        <v>1817</v>
      </c>
      <c r="C220" s="1075"/>
      <c r="D220" s="1097">
        <v>42392</v>
      </c>
      <c r="E220" s="1038"/>
      <c r="F220" s="1038"/>
      <c r="G220" s="1038"/>
      <c r="H220" s="1097"/>
      <c r="I220" s="1046"/>
      <c r="N220" s="1035"/>
    </row>
    <row r="221" spans="1:14">
      <c r="A221" s="1044"/>
      <c r="B221" s="1189" t="s">
        <v>1572</v>
      </c>
      <c r="C221" s="1075"/>
      <c r="D221" s="1045">
        <f>SUM(D222:D225)</f>
        <v>483006.24</v>
      </c>
      <c r="E221" s="1038"/>
      <c r="F221" s="1038"/>
      <c r="G221" s="1038"/>
      <c r="H221" s="1045">
        <f>SUM(H222:H225)</f>
        <v>455067</v>
      </c>
      <c r="I221" s="1046"/>
      <c r="N221" s="1035"/>
    </row>
    <row r="222" spans="1:14">
      <c r="A222" s="1044"/>
      <c r="B222" s="1051" t="s">
        <v>1816</v>
      </c>
      <c r="C222" s="1075"/>
      <c r="D222" s="1052">
        <v>338406.24</v>
      </c>
      <c r="E222" s="1038"/>
      <c r="F222" s="1038"/>
      <c r="G222" s="1038"/>
      <c r="H222" s="1052">
        <v>297169</v>
      </c>
      <c r="I222" s="1046"/>
      <c r="N222" s="1035"/>
    </row>
    <row r="223" spans="1:14">
      <c r="A223" s="1044"/>
      <c r="B223" s="1051" t="s">
        <v>3445</v>
      </c>
      <c r="C223" s="1075"/>
      <c r="D223" s="1054">
        <v>108000</v>
      </c>
      <c r="E223" s="1038"/>
      <c r="F223" s="1038"/>
      <c r="G223" s="1038"/>
      <c r="H223" s="1054">
        <v>108000</v>
      </c>
      <c r="I223" s="1046"/>
      <c r="N223" s="1035"/>
    </row>
    <row r="224" spans="1:14">
      <c r="A224" s="1044"/>
      <c r="B224" s="1051" t="s">
        <v>3446</v>
      </c>
      <c r="C224" s="1075"/>
      <c r="D224" s="1054"/>
      <c r="E224" s="1038"/>
      <c r="F224" s="1038"/>
      <c r="G224" s="1038"/>
      <c r="H224" s="1054"/>
      <c r="I224" s="1046"/>
      <c r="N224" s="1035"/>
    </row>
    <row r="225" spans="1:14">
      <c r="A225" s="1044"/>
      <c r="B225" s="1051" t="s">
        <v>1817</v>
      </c>
      <c r="C225" s="1075"/>
      <c r="D225" s="1097">
        <v>36600</v>
      </c>
      <c r="E225" s="1038"/>
      <c r="F225" s="1038"/>
      <c r="G225" s="1038"/>
      <c r="H225" s="1097">
        <v>49898</v>
      </c>
      <c r="I225" s="1046"/>
      <c r="N225" s="1035"/>
    </row>
    <row r="226" spans="1:14">
      <c r="A226" s="1044"/>
      <c r="B226" s="1189" t="s">
        <v>1573</v>
      </c>
      <c r="C226" s="1075"/>
      <c r="D226" s="1045">
        <f>SUM(D227:D230)</f>
        <v>487261.24</v>
      </c>
      <c r="E226" s="1038"/>
      <c r="F226" s="1038"/>
      <c r="G226" s="1038"/>
      <c r="H226" s="1045">
        <f>SUM(H227:H230)</f>
        <v>455067</v>
      </c>
      <c r="I226" s="1046"/>
      <c r="N226" s="1035"/>
    </row>
    <row r="227" spans="1:14">
      <c r="A227" s="1044"/>
      <c r="B227" s="1051" t="s">
        <v>1816</v>
      </c>
      <c r="C227" s="1075"/>
      <c r="D227" s="1052">
        <v>338406.24</v>
      </c>
      <c r="E227" s="1038"/>
      <c r="F227" s="1038"/>
      <c r="G227" s="1038"/>
      <c r="H227" s="1052">
        <v>297169</v>
      </c>
      <c r="I227" s="1046"/>
      <c r="N227" s="1035"/>
    </row>
    <row r="228" spans="1:14">
      <c r="A228" s="1044"/>
      <c r="B228" s="1051" t="s">
        <v>3445</v>
      </c>
      <c r="C228" s="1075"/>
      <c r="D228" s="1054">
        <v>108000</v>
      </c>
      <c r="E228" s="1038"/>
      <c r="F228" s="1038"/>
      <c r="G228" s="1038"/>
      <c r="H228" s="1054">
        <v>108000</v>
      </c>
      <c r="I228" s="1046"/>
      <c r="N228" s="1035"/>
    </row>
    <row r="229" spans="1:14">
      <c r="A229" s="1044"/>
      <c r="B229" s="1051" t="s">
        <v>3446</v>
      </c>
      <c r="C229" s="1075"/>
      <c r="D229" s="1054"/>
      <c r="E229" s="1038"/>
      <c r="F229" s="1038"/>
      <c r="G229" s="1038"/>
      <c r="H229" s="1054"/>
      <c r="I229" s="1046"/>
      <c r="N229" s="1035"/>
    </row>
    <row r="230" spans="1:14">
      <c r="A230" s="1044"/>
      <c r="B230" s="1051" t="s">
        <v>1817</v>
      </c>
      <c r="C230" s="1075"/>
      <c r="D230" s="1097">
        <v>40855</v>
      </c>
      <c r="E230" s="1038"/>
      <c r="F230" s="1038"/>
      <c r="G230" s="1038"/>
      <c r="H230" s="1097">
        <v>49898</v>
      </c>
      <c r="I230" s="1046"/>
      <c r="N230" s="1035"/>
    </row>
    <row r="231" spans="1:14" ht="13.5" thickBot="1">
      <c r="A231" s="1044"/>
      <c r="B231" s="1076" t="s">
        <v>2384</v>
      </c>
      <c r="C231" s="1075"/>
      <c r="D231" s="1077">
        <f>D226+D221+D216+D211+D206</f>
        <v>2812853.61</v>
      </c>
      <c r="E231" s="1038"/>
      <c r="F231" s="1038"/>
      <c r="G231" s="1038"/>
      <c r="H231" s="1077">
        <f>H226+H221+H216+H211+H206</f>
        <v>2538857</v>
      </c>
      <c r="I231" s="1046"/>
      <c r="N231" s="1035"/>
    </row>
    <row r="232" spans="1:14" ht="13.5" thickTop="1">
      <c r="A232" s="1044"/>
      <c r="B232" s="1038"/>
      <c r="C232" s="1038"/>
      <c r="D232" s="1045"/>
      <c r="E232" s="1038"/>
      <c r="F232" s="1038"/>
      <c r="G232" s="1038"/>
      <c r="H232" s="1045"/>
      <c r="I232" s="1046"/>
      <c r="N232" s="1035"/>
    </row>
    <row r="233" spans="1:14" ht="38.25">
      <c r="A233" s="1086"/>
      <c r="B233" s="1060" t="s">
        <v>1819</v>
      </c>
      <c r="C233" s="1060"/>
      <c r="D233" s="1060"/>
      <c r="E233" s="1060"/>
      <c r="F233" s="1060"/>
      <c r="G233" s="1060"/>
      <c r="H233" s="1060"/>
      <c r="I233" s="1087"/>
      <c r="N233" s="1035"/>
    </row>
    <row r="234" spans="1:14" ht="25.5">
      <c r="A234" s="1086"/>
      <c r="B234" s="1060" t="s">
        <v>1818</v>
      </c>
      <c r="C234" s="1060"/>
      <c r="D234" s="1060"/>
      <c r="E234" s="1060"/>
      <c r="F234" s="1060"/>
      <c r="G234" s="1060"/>
      <c r="H234" s="1060"/>
      <c r="I234" s="1087"/>
      <c r="N234" s="1035"/>
    </row>
    <row r="235" spans="1:14">
      <c r="A235" s="1062"/>
      <c r="B235" s="1063"/>
      <c r="C235" s="1063"/>
      <c r="D235" s="1064"/>
      <c r="E235" s="1063"/>
      <c r="F235" s="1063"/>
      <c r="G235" s="1063"/>
      <c r="H235" s="1064"/>
      <c r="I235" s="1065"/>
      <c r="N235" s="1035"/>
    </row>
    <row r="236" spans="1:14">
      <c r="A236" s="1066"/>
      <c r="B236" s="1042"/>
      <c r="C236" s="1042"/>
      <c r="D236" s="1041"/>
      <c r="E236" s="1042"/>
      <c r="F236" s="1042"/>
      <c r="G236" s="1042"/>
      <c r="H236" s="1041"/>
      <c r="I236" s="1043"/>
    </row>
    <row r="237" spans="1:14">
      <c r="A237" s="1044"/>
      <c r="B237" s="1067"/>
      <c r="C237" s="1067"/>
      <c r="D237" s="1068" t="s">
        <v>2241</v>
      </c>
      <c r="E237" s="1067"/>
      <c r="F237" s="1067"/>
      <c r="G237" s="1067"/>
      <c r="H237" s="1068" t="s">
        <v>3558</v>
      </c>
      <c r="I237" s="1069"/>
    </row>
    <row r="238" spans="1:14">
      <c r="A238" s="1044"/>
      <c r="B238" s="1067"/>
      <c r="C238" s="1067"/>
      <c r="D238" s="1071" t="s">
        <v>3386</v>
      </c>
      <c r="E238" s="1067"/>
      <c r="F238" s="1067"/>
      <c r="G238" s="1067"/>
      <c r="H238" s="1071" t="s">
        <v>3386</v>
      </c>
      <c r="I238" s="1069"/>
    </row>
    <row r="239" spans="1:14">
      <c r="A239" s="1072" t="s">
        <v>1005</v>
      </c>
      <c r="B239" s="1076" t="s">
        <v>1820</v>
      </c>
      <c r="C239" s="1076"/>
      <c r="D239" s="1045"/>
      <c r="E239" s="1038"/>
      <c r="F239" s="1038"/>
      <c r="G239" s="1038"/>
      <c r="H239" s="1045"/>
      <c r="I239" s="1058"/>
    </row>
    <row r="240" spans="1:14">
      <c r="A240" s="1044"/>
      <c r="B240" s="1075" t="s">
        <v>806</v>
      </c>
      <c r="C240" s="1075"/>
      <c r="D240" s="1045">
        <f>SUM('TRAIL BALANCE'!C22)</f>
        <v>451952.04</v>
      </c>
      <c r="E240" s="1038"/>
      <c r="F240" s="1038"/>
      <c r="G240" s="1038"/>
      <c r="H240" s="1045"/>
      <c r="I240" s="1046"/>
    </row>
    <row r="241" spans="1:10">
      <c r="A241" s="1044"/>
      <c r="B241" s="1075" t="s">
        <v>1821</v>
      </c>
      <c r="C241" s="1075"/>
      <c r="D241" s="1045"/>
      <c r="E241" s="1038"/>
      <c r="F241" s="1038"/>
      <c r="G241" s="1038"/>
      <c r="H241" s="1045">
        <f>305269-121343.67</f>
        <v>183925.33000000002</v>
      </c>
      <c r="I241" s="1046"/>
    </row>
    <row r="242" spans="1:10">
      <c r="A242" s="1044"/>
      <c r="B242" s="1075" t="s">
        <v>1822</v>
      </c>
      <c r="C242" s="1075"/>
      <c r="D242" s="1045"/>
      <c r="E242" s="1047"/>
      <c r="F242" s="1047"/>
      <c r="G242" s="1047"/>
      <c r="H242" s="1045">
        <v>228951</v>
      </c>
      <c r="I242" s="1046"/>
    </row>
    <row r="243" spans="1:10">
      <c r="A243" s="1044"/>
      <c r="B243" s="1075" t="s">
        <v>1823</v>
      </c>
      <c r="C243" s="1075"/>
      <c r="D243" s="1045">
        <f>SUM('TRAIL BALANCE'!C23)</f>
        <v>1132163.3999999999</v>
      </c>
      <c r="E243" s="1038"/>
      <c r="F243" s="1038"/>
      <c r="G243" s="1038"/>
      <c r="H243" s="1045">
        <v>824229</v>
      </c>
      <c r="I243" s="1046"/>
    </row>
    <row r="244" spans="1:10">
      <c r="A244" s="1044"/>
      <c r="B244" s="1075" t="s">
        <v>1824</v>
      </c>
      <c r="C244" s="1075"/>
      <c r="D244" s="1045">
        <f>SUM('TRAIL BALANCE'!C27)</f>
        <v>219048.88</v>
      </c>
      <c r="E244" s="1038"/>
      <c r="F244" s="1038"/>
      <c r="G244" s="1038"/>
      <c r="H244" s="1045">
        <v>203767</v>
      </c>
      <c r="I244" s="1046"/>
    </row>
    <row r="245" spans="1:10">
      <c r="A245" s="1044"/>
      <c r="B245" s="1075" t="s">
        <v>1825</v>
      </c>
      <c r="C245" s="1075"/>
      <c r="D245" s="1045">
        <f>SUM('TRAIL BALANCE'!C24)</f>
        <v>376845.36</v>
      </c>
      <c r="E245" s="1038"/>
      <c r="F245" s="1038"/>
      <c r="G245" s="1038"/>
      <c r="H245" s="1045">
        <v>452807</v>
      </c>
      <c r="I245" s="1046"/>
    </row>
    <row r="246" spans="1:10">
      <c r="A246" s="1044"/>
      <c r="B246" s="1075" t="s">
        <v>1826</v>
      </c>
      <c r="C246" s="1075"/>
      <c r="D246" s="1045">
        <f>SUM('TRAIL BALANCE'!C26)</f>
        <v>95292</v>
      </c>
      <c r="E246" s="1038"/>
      <c r="F246" s="1038"/>
      <c r="G246" s="1038"/>
      <c r="H246" s="1045">
        <v>102084</v>
      </c>
      <c r="I246" s="1046"/>
    </row>
    <row r="247" spans="1:10">
      <c r="A247" s="1044"/>
      <c r="B247" s="1075" t="s">
        <v>1827</v>
      </c>
      <c r="C247" s="1075"/>
      <c r="D247" s="1045">
        <f>SUM('TRAIL BALANCE'!C17)</f>
        <v>13827.15</v>
      </c>
      <c r="E247" s="1038"/>
      <c r="F247" s="1038"/>
      <c r="G247" s="1038"/>
      <c r="H247" s="1045">
        <v>0</v>
      </c>
      <c r="I247" s="1046"/>
      <c r="J247" s="1035">
        <f>2117107-1995763.33</f>
        <v>121343.66999999993</v>
      </c>
    </row>
    <row r="248" spans="1:10" ht="13.5" thickBot="1">
      <c r="A248" s="1044"/>
      <c r="B248" s="1076" t="s">
        <v>1828</v>
      </c>
      <c r="C248" s="1075"/>
      <c r="D248" s="1077">
        <f>SUM(D240:D247)</f>
        <v>2289128.8299999996</v>
      </c>
      <c r="E248" s="1038"/>
      <c r="F248" s="1038"/>
      <c r="G248" s="1038"/>
      <c r="H248" s="1077">
        <f>SUM(H240:H247)</f>
        <v>1995763.33</v>
      </c>
      <c r="I248" s="1046"/>
    </row>
    <row r="249" spans="1:10" ht="13.5" thickTop="1">
      <c r="A249" s="1044"/>
      <c r="B249" s="1075"/>
      <c r="C249" s="1075"/>
      <c r="D249" s="1045"/>
      <c r="E249" s="1038"/>
      <c r="F249" s="1038"/>
      <c r="G249" s="1038"/>
      <c r="H249" s="1045"/>
      <c r="I249" s="1046"/>
    </row>
    <row r="250" spans="1:10" ht="38.25">
      <c r="A250" s="1086"/>
      <c r="B250" s="1060" t="s">
        <v>1574</v>
      </c>
      <c r="C250" s="1060"/>
      <c r="D250" s="1060"/>
      <c r="E250" s="1060"/>
      <c r="F250" s="1060"/>
      <c r="G250" s="1060"/>
      <c r="H250" s="1060"/>
      <c r="I250" s="1087"/>
    </row>
    <row r="251" spans="1:10" ht="25.5">
      <c r="A251" s="1086"/>
      <c r="B251" s="1060" t="s">
        <v>1575</v>
      </c>
      <c r="C251" s="1060"/>
      <c r="D251" s="1060"/>
      <c r="E251" s="1060"/>
      <c r="F251" s="1060"/>
      <c r="G251" s="1060"/>
      <c r="H251" s="1060"/>
      <c r="I251" s="1087"/>
    </row>
    <row r="252" spans="1:10" ht="25.5">
      <c r="A252" s="1086"/>
      <c r="B252" s="1060" t="s">
        <v>1829</v>
      </c>
      <c r="C252" s="1060"/>
      <c r="D252" s="1060"/>
      <c r="E252" s="1060"/>
      <c r="F252" s="1060"/>
      <c r="G252" s="1060"/>
      <c r="H252" s="1060"/>
      <c r="I252" s="1087"/>
    </row>
    <row r="253" spans="1:10">
      <c r="A253" s="1099"/>
      <c r="B253" s="1100"/>
      <c r="C253" s="1100"/>
      <c r="D253" s="1101"/>
      <c r="E253" s="1100"/>
      <c r="F253" s="1100"/>
      <c r="G253" s="1100"/>
      <c r="H253" s="1101"/>
      <c r="I253" s="1102"/>
    </row>
    <row r="254" spans="1:10">
      <c r="A254" s="1066"/>
      <c r="B254" s="1042"/>
      <c r="C254" s="1042"/>
      <c r="D254" s="1041"/>
      <c r="E254" s="1042"/>
      <c r="F254" s="1042"/>
      <c r="G254" s="1042"/>
      <c r="H254" s="1041"/>
      <c r="I254" s="1043"/>
    </row>
    <row r="255" spans="1:10">
      <c r="A255" s="1044"/>
      <c r="B255" s="1067"/>
      <c r="C255" s="1067"/>
      <c r="D255" s="1068" t="s">
        <v>2241</v>
      </c>
      <c r="E255" s="1067"/>
      <c r="F255" s="1067"/>
      <c r="G255" s="1067"/>
      <c r="H255" s="1068" t="s">
        <v>3558</v>
      </c>
      <c r="I255" s="1069"/>
    </row>
    <row r="256" spans="1:10">
      <c r="A256" s="1044"/>
      <c r="B256" s="1067"/>
      <c r="C256" s="1067"/>
      <c r="D256" s="1071" t="s">
        <v>3386</v>
      </c>
      <c r="E256" s="1067"/>
      <c r="F256" s="1067"/>
      <c r="G256" s="1067"/>
      <c r="H256" s="1071" t="s">
        <v>3386</v>
      </c>
      <c r="I256" s="1069"/>
    </row>
    <row r="257" spans="1:11" ht="15">
      <c r="A257" s="1072" t="s">
        <v>1006</v>
      </c>
      <c r="B257" s="1103" t="s">
        <v>3447</v>
      </c>
      <c r="C257" s="1047"/>
      <c r="D257" s="1059"/>
      <c r="E257" s="1047"/>
      <c r="F257" s="1047"/>
      <c r="G257" s="1047"/>
      <c r="H257" s="1059"/>
      <c r="I257" s="1058"/>
    </row>
    <row r="258" spans="1:11" ht="14.25">
      <c r="A258" s="1044"/>
      <c r="B258" s="1104" t="s">
        <v>2830</v>
      </c>
      <c r="C258" s="1038"/>
      <c r="D258" s="1045">
        <v>0</v>
      </c>
      <c r="E258" s="1038"/>
      <c r="F258" s="1038"/>
      <c r="G258" s="1038"/>
      <c r="H258" s="1045"/>
      <c r="I258" s="1046"/>
    </row>
    <row r="259" spans="1:11" ht="14.25">
      <c r="A259" s="1044"/>
      <c r="B259" s="1104" t="s">
        <v>2831</v>
      </c>
      <c r="C259" s="1038"/>
      <c r="D259" s="1045"/>
      <c r="E259" s="1038"/>
      <c r="F259" s="1038"/>
      <c r="G259" s="1038"/>
      <c r="H259" s="1045"/>
      <c r="I259" s="1046"/>
    </row>
    <row r="260" spans="1:11" ht="14.25">
      <c r="A260" s="1044"/>
      <c r="B260" s="1104" t="s">
        <v>2832</v>
      </c>
      <c r="C260" s="1038"/>
      <c r="D260" s="1045">
        <v>0</v>
      </c>
      <c r="E260" s="1038"/>
      <c r="F260" s="1038"/>
      <c r="G260" s="1038"/>
      <c r="H260" s="1045"/>
      <c r="I260" s="1046"/>
    </row>
    <row r="261" spans="1:11" ht="14.25">
      <c r="A261" s="1044"/>
      <c r="B261" s="1104" t="s">
        <v>2833</v>
      </c>
      <c r="C261" s="1038"/>
      <c r="D261" s="1045">
        <f>'TRAIL BALANCE'!C31+'TRAIL BALANCE'!C406+'TRAIL BALANCE'!C477+'TRAIL BALANCE'!C498+'TRAIL BALANCE'!C540+'TRAIL BALANCE'!C635</f>
        <v>1186125.32</v>
      </c>
      <c r="E261" s="1038"/>
      <c r="F261" s="1038"/>
      <c r="G261" s="1038"/>
      <c r="H261" s="1045">
        <v>981766</v>
      </c>
      <c r="I261" s="1046"/>
      <c r="K261" s="1035" t="s">
        <v>55</v>
      </c>
    </row>
    <row r="262" spans="1:11" ht="15.75" thickBot="1">
      <c r="A262" s="1044"/>
      <c r="B262" s="1103" t="s">
        <v>2384</v>
      </c>
      <c r="C262" s="1038"/>
      <c r="D262" s="1077">
        <f>SUM(D258:D261)</f>
        <v>1186125.32</v>
      </c>
      <c r="E262" s="1038"/>
      <c r="F262" s="1038"/>
      <c r="G262" s="1038"/>
      <c r="H262" s="1077">
        <f>SUM(H258:H261)</f>
        <v>981766</v>
      </c>
      <c r="I262" s="1046"/>
    </row>
    <row r="263" spans="1:11" ht="13.5" thickTop="1">
      <c r="A263" s="1044"/>
      <c r="B263" s="1038"/>
      <c r="C263" s="1038"/>
      <c r="D263" s="1045"/>
      <c r="E263" s="1038"/>
      <c r="F263" s="1038"/>
      <c r="G263" s="1038"/>
      <c r="H263" s="1045"/>
      <c r="I263" s="1046"/>
    </row>
    <row r="264" spans="1:11">
      <c r="A264" s="1062"/>
      <c r="B264" s="1063"/>
      <c r="C264" s="1063"/>
      <c r="D264" s="1064"/>
      <c r="E264" s="1063"/>
      <c r="F264" s="1063"/>
      <c r="G264" s="1063"/>
      <c r="H264" s="1064"/>
      <c r="I264" s="1065"/>
    </row>
    <row r="265" spans="1:11" ht="15">
      <c r="A265" s="1039" t="s">
        <v>1007</v>
      </c>
      <c r="B265" s="1105" t="s">
        <v>2834</v>
      </c>
      <c r="C265" s="1042"/>
      <c r="D265" s="1041"/>
      <c r="E265" s="1042"/>
      <c r="F265" s="1042"/>
      <c r="G265" s="1042"/>
      <c r="H265" s="1041"/>
      <c r="I265" s="1043"/>
    </row>
    <row r="266" spans="1:11" ht="14.25">
      <c r="A266" s="1044"/>
      <c r="B266" s="1104" t="s">
        <v>1609</v>
      </c>
      <c r="C266" s="1038"/>
      <c r="D266" s="1045">
        <f>'TRAIL BALANCE'!C542</f>
        <v>12752281.619999999</v>
      </c>
      <c r="E266" s="1038"/>
      <c r="F266" s="1038"/>
      <c r="G266" s="1038"/>
      <c r="H266" s="1045">
        <v>11980707</v>
      </c>
      <c r="I266" s="1046"/>
    </row>
    <row r="267" spans="1:11" ht="14.25">
      <c r="A267" s="1044"/>
      <c r="B267" s="1104" t="s">
        <v>1612</v>
      </c>
      <c r="C267" s="1038"/>
      <c r="D267" s="1045"/>
      <c r="E267" s="1038"/>
      <c r="F267" s="1038"/>
      <c r="G267" s="1038"/>
      <c r="H267" s="1045"/>
      <c r="I267" s="1046"/>
    </row>
    <row r="268" spans="1:11" ht="15.75" thickBot="1">
      <c r="A268" s="1044"/>
      <c r="B268" s="1103" t="s">
        <v>2384</v>
      </c>
      <c r="C268" s="1038"/>
      <c r="D268" s="1077">
        <f>SUM(D266:D267)</f>
        <v>12752281.619999999</v>
      </c>
      <c r="E268" s="1038"/>
      <c r="F268" s="1038"/>
      <c r="G268" s="1038"/>
      <c r="H268" s="1077">
        <f>SUM(H266:H267)</f>
        <v>11980707</v>
      </c>
      <c r="I268" s="1046"/>
    </row>
    <row r="269" spans="1:11" ht="13.5" thickTop="1">
      <c r="A269" s="1044"/>
      <c r="B269" s="1106"/>
      <c r="C269" s="1038"/>
      <c r="D269" s="1045"/>
      <c r="E269" s="1038"/>
      <c r="F269" s="1038"/>
      <c r="G269" s="1038"/>
      <c r="H269" s="1045"/>
      <c r="I269" s="1046"/>
    </row>
    <row r="270" spans="1:11" ht="14.25">
      <c r="A270" s="1044"/>
      <c r="B270" s="1104" t="s">
        <v>2835</v>
      </c>
      <c r="C270" s="1038"/>
      <c r="D270" s="1107">
        <v>2.1426000000000001E-2</v>
      </c>
      <c r="E270" s="1038"/>
      <c r="F270" s="1038"/>
      <c r="G270" s="1038"/>
      <c r="H270" s="1108">
        <f>1986700/63297900</f>
        <v>3.1386507293290927E-2</v>
      </c>
      <c r="I270" s="1046"/>
    </row>
    <row r="271" spans="1:11">
      <c r="A271" s="1062"/>
      <c r="B271" s="1063"/>
      <c r="C271" s="1063"/>
      <c r="D271" s="1064"/>
      <c r="E271" s="1063"/>
      <c r="F271" s="1063"/>
      <c r="G271" s="1063"/>
      <c r="H271" s="1064"/>
      <c r="I271" s="1065"/>
    </row>
    <row r="272" spans="1:11">
      <c r="A272" s="1066"/>
      <c r="B272" s="1042"/>
      <c r="C272" s="1042"/>
      <c r="D272" s="1041"/>
      <c r="E272" s="1042"/>
      <c r="F272" s="1042"/>
      <c r="G272" s="1042"/>
      <c r="H272" s="1041"/>
      <c r="I272" s="1043"/>
    </row>
    <row r="273" spans="1:10">
      <c r="A273" s="1044"/>
      <c r="B273" s="1067"/>
      <c r="C273" s="1067"/>
      <c r="D273" s="1068" t="s">
        <v>2241</v>
      </c>
      <c r="E273" s="1067"/>
      <c r="F273" s="1067"/>
      <c r="G273" s="1067"/>
      <c r="H273" s="1068" t="s">
        <v>3558</v>
      </c>
      <c r="I273" s="1069"/>
    </row>
    <row r="274" spans="1:10">
      <c r="A274" s="1044"/>
      <c r="B274" s="1067"/>
      <c r="C274" s="1067"/>
      <c r="D274" s="1071" t="s">
        <v>3386</v>
      </c>
      <c r="E274" s="1067"/>
      <c r="F274" s="1067"/>
      <c r="G274" s="1067"/>
      <c r="H274" s="1071" t="s">
        <v>3386</v>
      </c>
      <c r="I274" s="1069"/>
    </row>
    <row r="275" spans="1:10" ht="13.5">
      <c r="A275" s="1072" t="s">
        <v>1008</v>
      </c>
      <c r="B275" s="1076" t="s">
        <v>2836</v>
      </c>
      <c r="C275" s="1109"/>
      <c r="D275" s="1059"/>
      <c r="E275" s="1047"/>
      <c r="F275" s="1047"/>
      <c r="G275" s="1047"/>
      <c r="H275" s="1059"/>
      <c r="I275" s="1058"/>
    </row>
    <row r="276" spans="1:10" ht="13.5">
      <c r="A276" s="1044"/>
      <c r="B276" s="1075" t="s">
        <v>600</v>
      </c>
      <c r="C276" s="1109"/>
      <c r="D276" s="1045">
        <v>54021.66</v>
      </c>
      <c r="E276" s="1038"/>
      <c r="F276" s="1038"/>
      <c r="G276" s="1038"/>
      <c r="H276" s="1045"/>
      <c r="I276" s="1046"/>
    </row>
    <row r="277" spans="1:10" ht="13.5">
      <c r="A277" s="1044"/>
      <c r="B277" s="1075"/>
      <c r="C277" s="1109"/>
      <c r="D277" s="1045"/>
      <c r="E277" s="1038"/>
      <c r="F277" s="1038"/>
      <c r="G277" s="1038"/>
      <c r="H277" s="1045"/>
      <c r="I277" s="1046"/>
    </row>
    <row r="278" spans="1:10" ht="13.5">
      <c r="A278" s="1044"/>
      <c r="B278" s="1075"/>
      <c r="C278" s="1109"/>
      <c r="D278" s="1045"/>
      <c r="E278" s="1038"/>
      <c r="F278" s="1038"/>
      <c r="G278" s="1038"/>
      <c r="H278" s="1045"/>
      <c r="I278" s="1046"/>
    </row>
    <row r="279" spans="1:10" ht="14.25" thickBot="1">
      <c r="A279" s="1044"/>
      <c r="B279" s="1076" t="s">
        <v>2384</v>
      </c>
      <c r="C279" s="1109"/>
      <c r="D279" s="1077">
        <f>SUM(D276:D278)</f>
        <v>54021.66</v>
      </c>
      <c r="E279" s="1038"/>
      <c r="F279" s="1038"/>
      <c r="G279" s="1038"/>
      <c r="H279" s="1077">
        <f>SUM(H276:H278)</f>
        <v>0</v>
      </c>
      <c r="I279" s="1046"/>
    </row>
    <row r="280" spans="1:10" ht="13.5" thickTop="1">
      <c r="A280" s="1044"/>
      <c r="B280" s="1038"/>
      <c r="C280" s="1038"/>
      <c r="D280" s="1045"/>
      <c r="E280" s="1038"/>
      <c r="F280" s="1038"/>
      <c r="G280" s="1038"/>
      <c r="H280" s="1045"/>
      <c r="I280" s="1046"/>
    </row>
    <row r="281" spans="1:10" ht="25.5">
      <c r="A281" s="1044"/>
      <c r="B281" s="1060" t="s">
        <v>2837</v>
      </c>
      <c r="C281" s="1038"/>
      <c r="D281" s="1045"/>
      <c r="E281" s="1038"/>
      <c r="F281" s="1038"/>
      <c r="G281" s="1038"/>
      <c r="H281" s="1045"/>
      <c r="I281" s="1046"/>
    </row>
    <row r="282" spans="1:10">
      <c r="A282" s="1062"/>
      <c r="B282" s="1063"/>
      <c r="C282" s="1063"/>
      <c r="D282" s="1064"/>
      <c r="E282" s="1063"/>
      <c r="F282" s="1063"/>
      <c r="G282" s="1063"/>
      <c r="H282" s="1064"/>
      <c r="I282" s="1065"/>
    </row>
    <row r="283" spans="1:10">
      <c r="A283" s="1066"/>
      <c r="B283" s="1042"/>
      <c r="C283" s="1042"/>
      <c r="D283" s="1041"/>
      <c r="E283" s="1042"/>
      <c r="F283" s="1042"/>
      <c r="G283" s="1042"/>
      <c r="H283" s="1041"/>
      <c r="I283" s="1043"/>
    </row>
    <row r="284" spans="1:10">
      <c r="A284" s="1044"/>
      <c r="B284" s="1067"/>
      <c r="C284" s="1067"/>
      <c r="D284" s="1068" t="s">
        <v>2241</v>
      </c>
      <c r="E284" s="1067"/>
      <c r="F284" s="1067"/>
      <c r="G284" s="1067"/>
      <c r="H284" s="1068" t="s">
        <v>3558</v>
      </c>
      <c r="I284" s="1069"/>
    </row>
    <row r="285" spans="1:10">
      <c r="A285" s="1044"/>
      <c r="B285" s="1067"/>
      <c r="C285" s="1067"/>
      <c r="D285" s="1071"/>
      <c r="E285" s="1067"/>
      <c r="F285" s="1067"/>
      <c r="G285" s="1067"/>
      <c r="H285" s="1071"/>
      <c r="I285" s="1069"/>
    </row>
    <row r="286" spans="1:10">
      <c r="A286" s="1072" t="s">
        <v>1009</v>
      </c>
      <c r="B286" s="1076" t="s">
        <v>3449</v>
      </c>
      <c r="C286" s="1075"/>
      <c r="D286" s="1059"/>
      <c r="E286" s="1047"/>
      <c r="F286" s="1047"/>
      <c r="G286" s="1047"/>
      <c r="H286" s="1059"/>
      <c r="I286" s="1058"/>
    </row>
    <row r="287" spans="1:10">
      <c r="A287" s="1044"/>
      <c r="B287" s="1075" t="s">
        <v>3253</v>
      </c>
      <c r="C287" s="1075"/>
      <c r="D287" s="1045">
        <v>70314</v>
      </c>
      <c r="E287" s="1038"/>
      <c r="F287" s="1038"/>
      <c r="G287" s="1038"/>
      <c r="H287" s="1045">
        <v>3562239</v>
      </c>
      <c r="I287" s="1046"/>
    </row>
    <row r="288" spans="1:10">
      <c r="A288" s="1044"/>
      <c r="B288" s="1075" t="s">
        <v>3003</v>
      </c>
      <c r="C288" s="1075"/>
      <c r="D288" s="1045">
        <v>438143</v>
      </c>
      <c r="E288" s="1038"/>
      <c r="F288" s="1038"/>
      <c r="G288" s="1038"/>
      <c r="H288" s="1045">
        <v>745</v>
      </c>
      <c r="I288" s="1046"/>
      <c r="J288" s="1035">
        <f>+D288+'Notes 2 - 9'!D96</f>
        <v>236162.84</v>
      </c>
    </row>
    <row r="289" spans="1:9">
      <c r="A289" s="1044"/>
      <c r="B289" s="1075" t="s">
        <v>3004</v>
      </c>
      <c r="C289" s="1075"/>
      <c r="D289" s="1045"/>
      <c r="E289" s="1038"/>
      <c r="F289" s="1038"/>
      <c r="G289" s="1038"/>
      <c r="H289" s="1045">
        <v>1120688</v>
      </c>
      <c r="I289" s="1046"/>
    </row>
    <row r="290" spans="1:9">
      <c r="A290" s="1044"/>
      <c r="B290" s="1075" t="s">
        <v>713</v>
      </c>
      <c r="C290" s="1075"/>
      <c r="D290" s="1045">
        <v>17008012</v>
      </c>
      <c r="E290" s="1038"/>
      <c r="F290" s="1038"/>
      <c r="G290" s="1038"/>
      <c r="H290" s="1045">
        <f>16496859+116420</f>
        <v>16613279</v>
      </c>
      <c r="I290" s="1046"/>
    </row>
    <row r="291" spans="1:9">
      <c r="A291" s="1044"/>
      <c r="B291" s="1075"/>
      <c r="C291" s="1075"/>
      <c r="D291" s="1045"/>
      <c r="E291" s="1038"/>
      <c r="F291" s="1038"/>
      <c r="G291" s="1038"/>
      <c r="H291" s="1045"/>
      <c r="I291" s="1046"/>
    </row>
    <row r="292" spans="1:9" ht="13.5" thickBot="1">
      <c r="A292" s="1044"/>
      <c r="B292" s="1076"/>
      <c r="C292" s="1075"/>
      <c r="D292" s="1077">
        <f>SUM(D287:D291)</f>
        <v>17516469</v>
      </c>
      <c r="E292" s="1038"/>
      <c r="F292" s="1038"/>
      <c r="G292" s="1038"/>
      <c r="H292" s="1077">
        <f>SUM(H287:H291)</f>
        <v>21296951</v>
      </c>
      <c r="I292" s="1046"/>
    </row>
    <row r="293" spans="1:9" ht="13.5" thickTop="1">
      <c r="A293" s="1044"/>
      <c r="B293" s="1038"/>
      <c r="C293" s="1038"/>
      <c r="D293" s="1045"/>
      <c r="E293" s="1038"/>
      <c r="F293" s="1038"/>
      <c r="G293" s="1038"/>
      <c r="H293" s="1045"/>
      <c r="I293" s="1046"/>
    </row>
    <row r="294" spans="1:9">
      <c r="A294" s="1086"/>
      <c r="B294" s="1060"/>
      <c r="C294" s="1060"/>
      <c r="D294" s="1060"/>
      <c r="E294" s="1060"/>
      <c r="F294" s="1060"/>
      <c r="G294" s="1060"/>
      <c r="H294" s="1060"/>
      <c r="I294" s="1087"/>
    </row>
    <row r="295" spans="1:9">
      <c r="A295" s="1044"/>
      <c r="B295" s="1038"/>
      <c r="C295" s="1038"/>
      <c r="D295" s="1045"/>
      <c r="E295" s="1038"/>
      <c r="F295" s="1038"/>
      <c r="G295" s="1038"/>
      <c r="H295" s="1045"/>
      <c r="I295" s="1046"/>
    </row>
    <row r="296" spans="1:9">
      <c r="A296" s="1062"/>
      <c r="B296" s="1063"/>
      <c r="C296" s="1063"/>
      <c r="D296" s="1064"/>
      <c r="E296" s="1063"/>
      <c r="F296" s="1063"/>
      <c r="G296" s="1063"/>
      <c r="H296" s="1064"/>
      <c r="I296" s="1065"/>
    </row>
    <row r="297" spans="1:9">
      <c r="A297" s="1039" t="s">
        <v>1010</v>
      </c>
      <c r="B297" s="1110" t="s">
        <v>2838</v>
      </c>
      <c r="C297" s="1042"/>
      <c r="D297" s="1041"/>
      <c r="E297" s="1042"/>
      <c r="F297" s="1042"/>
      <c r="G297" s="1042"/>
      <c r="H297" s="1041"/>
      <c r="I297" s="1043"/>
    </row>
    <row r="298" spans="1:9">
      <c r="A298" s="1044"/>
      <c r="B298" s="1038"/>
      <c r="C298" s="1038"/>
      <c r="D298" s="1045"/>
      <c r="E298" s="1038"/>
      <c r="F298" s="1038"/>
      <c r="G298" s="1038"/>
      <c r="H298" s="1045"/>
      <c r="I298" s="1046"/>
    </row>
    <row r="299" spans="1:9" ht="51">
      <c r="A299" s="1086"/>
      <c r="B299" s="1060" t="s">
        <v>3078</v>
      </c>
      <c r="C299" s="1060"/>
      <c r="D299" s="1060"/>
      <c r="E299" s="1060"/>
      <c r="F299" s="1060"/>
      <c r="G299" s="1060"/>
      <c r="H299" s="1060"/>
      <c r="I299" s="1087"/>
    </row>
    <row r="300" spans="1:9">
      <c r="A300" s="1044"/>
      <c r="B300" s="1038"/>
      <c r="C300" s="1038"/>
      <c r="D300" s="1045"/>
      <c r="E300" s="1038"/>
      <c r="F300" s="1038"/>
      <c r="G300" s="1038"/>
      <c r="H300" s="1045"/>
      <c r="I300" s="1046"/>
    </row>
    <row r="301" spans="1:9">
      <c r="A301" s="1044"/>
      <c r="B301" s="1075" t="s">
        <v>2839</v>
      </c>
      <c r="C301" s="1038"/>
      <c r="D301" s="1045"/>
      <c r="E301" s="1038"/>
      <c r="F301" s="1038"/>
      <c r="G301" s="1038"/>
      <c r="H301" s="1045"/>
      <c r="I301" s="1046"/>
    </row>
    <row r="302" spans="1:9">
      <c r="A302" s="1044"/>
      <c r="B302" s="1075" t="s">
        <v>2840</v>
      </c>
      <c r="C302" s="1038"/>
      <c r="D302" s="1045"/>
      <c r="E302" s="1038"/>
      <c r="F302" s="1038"/>
      <c r="G302" s="1038"/>
      <c r="H302" s="1045"/>
      <c r="I302" s="1046"/>
    </row>
    <row r="303" spans="1:9" ht="13.5" thickBot="1">
      <c r="A303" s="1044"/>
      <c r="B303" s="1047" t="s">
        <v>2841</v>
      </c>
      <c r="C303" s="1038"/>
      <c r="D303" s="1045"/>
      <c r="E303" s="1038"/>
      <c r="F303" s="1038"/>
      <c r="G303" s="1038"/>
      <c r="H303" s="1077">
        <f>SUM(H301:H302)</f>
        <v>0</v>
      </c>
      <c r="I303" s="1046"/>
    </row>
    <row r="304" spans="1:9" ht="13.5" thickTop="1">
      <c r="A304" s="1062"/>
      <c r="B304" s="1063"/>
      <c r="C304" s="1063"/>
      <c r="D304" s="1064"/>
      <c r="E304" s="1063"/>
      <c r="F304" s="1063"/>
      <c r="G304" s="1063"/>
      <c r="H304" s="1064"/>
      <c r="I304" s="1065"/>
    </row>
    <row r="305" spans="1:17">
      <c r="A305" s="1066"/>
      <c r="B305" s="1042"/>
      <c r="C305" s="1042"/>
      <c r="D305" s="1111"/>
      <c r="E305" s="1042"/>
      <c r="F305" s="1042"/>
      <c r="G305" s="1042"/>
      <c r="H305" s="1111"/>
      <c r="I305" s="1043"/>
      <c r="K305" s="1035">
        <f>1596555-549045</f>
        <v>1047510</v>
      </c>
    </row>
    <row r="306" spans="1:17">
      <c r="A306" s="1044"/>
      <c r="B306" s="1067"/>
      <c r="C306" s="1067"/>
      <c r="D306" s="1068" t="s">
        <v>2241</v>
      </c>
      <c r="E306" s="1067"/>
      <c r="F306" s="1067"/>
      <c r="G306" s="1067"/>
      <c r="H306" s="1068" t="s">
        <v>3558</v>
      </c>
      <c r="I306" s="1069"/>
    </row>
    <row r="307" spans="1:17">
      <c r="A307" s="1112"/>
      <c r="B307" s="1067"/>
      <c r="C307" s="1067"/>
      <c r="D307" s="1071" t="s">
        <v>3386</v>
      </c>
      <c r="E307" s="1067"/>
      <c r="F307" s="1067"/>
      <c r="G307" s="1067"/>
      <c r="H307" s="1071" t="s">
        <v>3386</v>
      </c>
      <c r="I307" s="1069"/>
    </row>
    <row r="308" spans="1:17" ht="25.5">
      <c r="A308" s="1072" t="s">
        <v>1011</v>
      </c>
      <c r="B308" s="1076" t="s">
        <v>2842</v>
      </c>
      <c r="C308" s="1075"/>
      <c r="D308" s="1045"/>
      <c r="E308" s="1038"/>
      <c r="F308" s="1038"/>
      <c r="G308" s="1038"/>
      <c r="H308" s="1045"/>
      <c r="I308" s="1058"/>
      <c r="N308" s="1036" t="s">
        <v>1519</v>
      </c>
    </row>
    <row r="309" spans="1:17" ht="15">
      <c r="A309" s="1044"/>
      <c r="B309" s="1076" t="s">
        <v>3562</v>
      </c>
      <c r="C309" s="1076"/>
      <c r="D309" s="1059">
        <f>'Statement of Financial Performa'!F49</f>
        <v>10925289.24000001</v>
      </c>
      <c r="E309" s="1047"/>
      <c r="F309" s="1047"/>
      <c r="G309" s="1047"/>
      <c r="H309" s="1059">
        <v>-5790899</v>
      </c>
      <c r="I309" s="1058"/>
      <c r="J309" s="1113">
        <f>J307-J308</f>
        <v>0</v>
      </c>
      <c r="N309" s="1114"/>
      <c r="O309" s="1115" t="s">
        <v>1509</v>
      </c>
      <c r="P309" s="1116"/>
      <c r="Q309" s="1116"/>
    </row>
    <row r="310" spans="1:17" ht="15">
      <c r="A310" s="1044"/>
      <c r="B310" s="1075" t="s">
        <v>573</v>
      </c>
      <c r="C310" s="1075"/>
      <c r="D310" s="1045">
        <v>0</v>
      </c>
      <c r="E310" s="1038"/>
      <c r="F310" s="1038"/>
      <c r="G310" s="1038"/>
      <c r="H310" s="1045"/>
      <c r="I310" s="1046"/>
      <c r="K310" s="1035">
        <v>2342503</v>
      </c>
      <c r="N310" s="1114" t="s">
        <v>1510</v>
      </c>
      <c r="O310" s="1116">
        <v>11987022.1</v>
      </c>
      <c r="P310" s="1116"/>
      <c r="Q310" s="1116"/>
    </row>
    <row r="311" spans="1:17" ht="15">
      <c r="A311" s="1044"/>
      <c r="B311" s="1051" t="s">
        <v>2843</v>
      </c>
      <c r="C311" s="1075"/>
      <c r="D311" s="1045">
        <f>+'Statement of Financial Performa'!F35</f>
        <v>3492914.18</v>
      </c>
      <c r="E311" s="1038"/>
      <c r="F311" s="1038"/>
      <c r="G311" s="1038"/>
      <c r="H311" s="1045"/>
      <c r="I311" s="1046"/>
      <c r="L311" s="1035">
        <v>19550460</v>
      </c>
      <c r="N311" s="1114" t="s">
        <v>1511</v>
      </c>
      <c r="O311" s="1116">
        <v>3272262.26</v>
      </c>
      <c r="P311" s="1116"/>
      <c r="Q311" s="1116"/>
    </row>
    <row r="312" spans="1:17" ht="15.75" thickBot="1">
      <c r="A312" s="1044"/>
      <c r="B312" s="1051" t="s">
        <v>595</v>
      </c>
      <c r="C312" s="1038"/>
      <c r="D312" s="1045"/>
      <c r="E312" s="1038"/>
      <c r="F312" s="1038"/>
      <c r="G312" s="1038"/>
      <c r="H312" s="1045"/>
      <c r="I312" s="1046"/>
      <c r="L312" s="1035">
        <v>-16257459</v>
      </c>
      <c r="N312" s="1114" t="s">
        <v>1512</v>
      </c>
      <c r="O312" s="1117">
        <f>SUM(O310:O311)</f>
        <v>15259284.359999999</v>
      </c>
      <c r="P312" s="1116"/>
      <c r="Q312" s="1116"/>
    </row>
    <row r="313" spans="1:17" ht="15.75" thickTop="1">
      <c r="A313" s="1044"/>
      <c r="B313" s="1051" t="s">
        <v>596</v>
      </c>
      <c r="C313" s="1038"/>
      <c r="D313" s="1045">
        <v>201980</v>
      </c>
      <c r="E313" s="1038"/>
      <c r="F313" s="1038"/>
      <c r="G313" s="1038"/>
      <c r="H313" s="1045">
        <v>0</v>
      </c>
      <c r="I313" s="1046"/>
      <c r="J313" s="1035">
        <v>438143</v>
      </c>
      <c r="K313" s="1035">
        <f>J313-D313</f>
        <v>236163</v>
      </c>
      <c r="L313" s="1035">
        <v>-10925289</v>
      </c>
      <c r="N313" s="1114"/>
      <c r="O313" s="1116"/>
      <c r="P313" s="1116"/>
      <c r="Q313" s="1116"/>
    </row>
    <row r="314" spans="1:17" ht="15">
      <c r="A314" s="1044"/>
      <c r="B314" s="1051" t="s">
        <v>2844</v>
      </c>
      <c r="C314" s="1038"/>
      <c r="D314" s="1045">
        <f>+'Statement of Financial Performa'!F33</f>
        <v>82519.28</v>
      </c>
      <c r="E314" s="1038"/>
      <c r="F314" s="1038"/>
      <c r="G314" s="1038"/>
      <c r="H314" s="1045"/>
      <c r="I314" s="1046"/>
      <c r="J314" s="1035">
        <f>+'Statement of Financial Position'!H22</f>
        <v>201980.16</v>
      </c>
      <c r="L314" s="1035">
        <v>2130502</v>
      </c>
      <c r="N314" s="1114"/>
      <c r="O314" s="1115" t="s">
        <v>1509</v>
      </c>
      <c r="P314" s="1115" t="s">
        <v>1513</v>
      </c>
      <c r="Q314" s="1116"/>
    </row>
    <row r="315" spans="1:17" ht="15">
      <c r="A315" s="1044"/>
      <c r="B315" s="1051" t="s">
        <v>3139</v>
      </c>
      <c r="C315" s="1038"/>
      <c r="D315" s="1045"/>
      <c r="E315" s="1038"/>
      <c r="F315" s="1038"/>
      <c r="G315" s="1038"/>
      <c r="H315" s="1045"/>
      <c r="I315" s="1046"/>
      <c r="J315" s="1035">
        <f>+J313-J314</f>
        <v>236162.84</v>
      </c>
      <c r="L315" s="1035">
        <v>-26688</v>
      </c>
      <c r="N315" s="1114" t="s">
        <v>1514</v>
      </c>
      <c r="O315" s="1116">
        <v>9081600.7400000002</v>
      </c>
      <c r="P315" s="1116">
        <v>9601060.9700000007</v>
      </c>
      <c r="Q315" s="1116"/>
    </row>
    <row r="316" spans="1:17" ht="15.75" customHeight="1">
      <c r="A316" s="1044"/>
      <c r="B316" s="1051" t="s">
        <v>597</v>
      </c>
      <c r="C316" s="1038"/>
      <c r="D316" s="1045"/>
      <c r="E316" s="1038"/>
      <c r="F316" s="1038"/>
      <c r="G316" s="1038"/>
      <c r="H316" s="1045"/>
      <c r="I316" s="1046"/>
      <c r="K316" s="1035">
        <f>236163-201980</f>
        <v>34183</v>
      </c>
      <c r="L316" s="1035">
        <f>SUM(L311:L315)</f>
        <v>-5528474</v>
      </c>
      <c r="N316" s="1114"/>
      <c r="O316" s="1116"/>
      <c r="P316" s="1116"/>
      <c r="Q316" s="1116"/>
    </row>
    <row r="317" spans="1:17" ht="15">
      <c r="A317" s="1044"/>
      <c r="B317" s="1051" t="s">
        <v>572</v>
      </c>
      <c r="C317" s="1038"/>
      <c r="D317" s="1045">
        <v>0</v>
      </c>
      <c r="E317" s="1038"/>
      <c r="F317" s="1038"/>
      <c r="G317" s="1038"/>
      <c r="H317" s="1045"/>
      <c r="I317" s="1046"/>
      <c r="N317" s="1114"/>
      <c r="O317" s="1116"/>
      <c r="P317" s="1116"/>
      <c r="Q317" s="1116"/>
    </row>
    <row r="318" spans="1:17" ht="15">
      <c r="A318" s="1044"/>
      <c r="B318" s="1051" t="s">
        <v>940</v>
      </c>
      <c r="C318" s="1038"/>
      <c r="D318" s="1045">
        <f>-5372637.16+2313593.52+240901.11+834954.6</f>
        <v>-1983187.9300000002</v>
      </c>
      <c r="E318" s="1038"/>
      <c r="F318" s="1038"/>
      <c r="G318" s="1038"/>
      <c r="H318" s="1045">
        <v>3508397</v>
      </c>
      <c r="I318" s="1046"/>
      <c r="J318" s="1035">
        <f>3786268.2-3508397</f>
        <v>277871.20000000019</v>
      </c>
      <c r="N318" s="1114"/>
      <c r="O318" s="1116"/>
      <c r="P318" s="1116"/>
      <c r="Q318" s="1116"/>
    </row>
    <row r="319" spans="1:17" ht="15">
      <c r="A319" s="1044"/>
      <c r="B319" s="1051" t="s">
        <v>581</v>
      </c>
      <c r="C319" s="1038"/>
      <c r="D319" s="1045">
        <v>0</v>
      </c>
      <c r="E319" s="1038"/>
      <c r="F319" s="1038"/>
      <c r="G319" s="1038"/>
      <c r="H319" s="1045">
        <v>1023863</v>
      </c>
      <c r="I319" s="1046"/>
      <c r="J319" s="1035">
        <f>3786268.2-277871-2313697.56</f>
        <v>1194699.6400000001</v>
      </c>
      <c r="N319" s="1114"/>
      <c r="O319" s="1116"/>
      <c r="P319" s="1116"/>
      <c r="Q319" s="1116"/>
    </row>
    <row r="320" spans="1:17" ht="15">
      <c r="A320" s="1044"/>
      <c r="B320" s="1051"/>
      <c r="C320" s="1038"/>
      <c r="D320" s="1045"/>
      <c r="E320" s="1038"/>
      <c r="F320" s="1038"/>
      <c r="G320" s="1038"/>
      <c r="H320" s="1045"/>
      <c r="I320" s="1046"/>
      <c r="K320" s="1118" t="s">
        <v>585</v>
      </c>
      <c r="N320" s="1114"/>
      <c r="O320" s="1116"/>
      <c r="P320" s="1116"/>
      <c r="Q320" s="1116"/>
    </row>
    <row r="321" spans="1:17" ht="15">
      <c r="A321" s="1044"/>
      <c r="B321" s="1051" t="s">
        <v>3244</v>
      </c>
      <c r="C321" s="1038"/>
      <c r="D321" s="1045">
        <v>0</v>
      </c>
      <c r="E321" s="1038"/>
      <c r="F321" s="1038"/>
      <c r="G321" s="1038"/>
      <c r="H321" s="1045"/>
      <c r="I321" s="1046"/>
      <c r="J321" s="1035">
        <f>+D321</f>
        <v>0</v>
      </c>
      <c r="K321" s="1118" t="s">
        <v>586</v>
      </c>
      <c r="N321" s="1114"/>
      <c r="O321" s="1116"/>
      <c r="P321" s="1116"/>
      <c r="Q321" s="1116"/>
    </row>
    <row r="322" spans="1:17" ht="15">
      <c r="A322" s="1044"/>
      <c r="B322" s="1051" t="s">
        <v>3244</v>
      </c>
      <c r="C322" s="1038"/>
      <c r="D322" s="1045">
        <v>0</v>
      </c>
      <c r="E322" s="1038"/>
      <c r="F322" s="1038"/>
      <c r="G322" s="1038"/>
      <c r="H322" s="1045"/>
      <c r="I322" s="1046"/>
      <c r="J322" s="1035">
        <f>-D322</f>
        <v>0</v>
      </c>
      <c r="N322" s="1114"/>
      <c r="O322" s="1116"/>
      <c r="P322" s="1116"/>
      <c r="Q322" s="1116"/>
    </row>
    <row r="323" spans="1:17" ht="15">
      <c r="A323" s="1044"/>
      <c r="B323" s="1051" t="s">
        <v>2843</v>
      </c>
      <c r="C323" s="1038"/>
      <c r="D323" s="1045">
        <v>0</v>
      </c>
      <c r="E323" s="1038"/>
      <c r="F323" s="1038"/>
      <c r="G323" s="1038"/>
      <c r="H323" s="1045"/>
      <c r="I323" s="1046"/>
      <c r="J323" s="1035">
        <f>+J321+J322</f>
        <v>0</v>
      </c>
      <c r="N323" s="1114"/>
      <c r="O323" s="1116"/>
      <c r="P323" s="1116"/>
      <c r="Q323" s="1116"/>
    </row>
    <row r="324" spans="1:17" ht="15">
      <c r="A324" s="1044"/>
      <c r="B324" s="1051" t="s">
        <v>1157</v>
      </c>
      <c r="C324" s="1038"/>
      <c r="D324" s="1045">
        <f>-'Statement of Financial Performa'!F17</f>
        <v>-549044.5</v>
      </c>
      <c r="E324" s="1038"/>
      <c r="F324" s="1038"/>
      <c r="G324" s="1038"/>
      <c r="H324" s="1045">
        <v>0</v>
      </c>
      <c r="I324" s="1046"/>
      <c r="J324" s="1035">
        <v>-1042310</v>
      </c>
      <c r="K324" s="1035">
        <f>H324-J324</f>
        <v>1042310</v>
      </c>
      <c r="L324" s="1035">
        <f>+D324/2</f>
        <v>-274522.25</v>
      </c>
      <c r="N324" s="1114" t="s">
        <v>1515</v>
      </c>
      <c r="O324" s="1116">
        <v>5887481</v>
      </c>
      <c r="P324" s="1116">
        <v>6404472</v>
      </c>
      <c r="Q324" s="1116"/>
    </row>
    <row r="325" spans="1:17" ht="15">
      <c r="A325" s="1044"/>
      <c r="B325" s="1051" t="s">
        <v>587</v>
      </c>
      <c r="C325" s="1038"/>
      <c r="D325" s="1045"/>
      <c r="E325" s="1038"/>
      <c r="F325" s="1038"/>
      <c r="G325" s="1038"/>
      <c r="H325" s="1045">
        <v>-1042310</v>
      </c>
      <c r="I325" s="1046"/>
      <c r="N325" s="1114"/>
      <c r="O325" s="1116"/>
      <c r="P325" s="1116"/>
      <c r="Q325" s="1116"/>
    </row>
    <row r="326" spans="1:17" ht="15.75" thickBot="1">
      <c r="A326" s="1044"/>
      <c r="B326" s="1051" t="s">
        <v>1631</v>
      </c>
      <c r="C326" s="1038"/>
      <c r="D326" s="1045">
        <f>'Statement of Financial Performa'!F37</f>
        <v>1186125.32</v>
      </c>
      <c r="E326" s="1038"/>
      <c r="F326" s="1038"/>
      <c r="G326" s="1038"/>
      <c r="H326" s="1045">
        <v>0</v>
      </c>
      <c r="I326" s="1046"/>
      <c r="J326" s="1035">
        <v>939962</v>
      </c>
      <c r="K326" s="1035">
        <f>J326+H324</f>
        <v>939962</v>
      </c>
      <c r="N326" s="1114"/>
      <c r="O326" s="1117">
        <f>O315-O324</f>
        <v>3194119.74</v>
      </c>
      <c r="P326" s="1117">
        <f>P315-P324</f>
        <v>3196588.9700000007</v>
      </c>
      <c r="Q326" s="1116">
        <f>O326-P326</f>
        <v>-2469.230000000447</v>
      </c>
    </row>
    <row r="327" spans="1:17" ht="15.75" thickTop="1">
      <c r="A327" s="1044"/>
      <c r="B327" s="1051" t="s">
        <v>584</v>
      </c>
      <c r="C327" s="1038"/>
      <c r="D327" s="1045">
        <f>D287</f>
        <v>70314</v>
      </c>
      <c r="E327" s="1038"/>
      <c r="F327" s="1038"/>
      <c r="G327" s="1038"/>
      <c r="H327" s="1045">
        <v>939962</v>
      </c>
      <c r="I327" s="1046"/>
      <c r="N327" s="1114"/>
      <c r="O327" s="1119"/>
      <c r="P327" s="1119"/>
      <c r="Q327" s="1116"/>
    </row>
    <row r="328" spans="1:17" ht="15">
      <c r="A328" s="1044"/>
      <c r="B328" s="1051" t="s">
        <v>3259</v>
      </c>
      <c r="C328" s="1038"/>
      <c r="D328" s="1045">
        <v>0</v>
      </c>
      <c r="E328" s="1038"/>
      <c r="F328" s="1038"/>
      <c r="G328" s="1038"/>
      <c r="H328" s="1045">
        <v>1085618</v>
      </c>
      <c r="I328" s="1046"/>
      <c r="L328" s="1035">
        <f>SUM(D327:D331)</f>
        <v>317558</v>
      </c>
      <c r="M328" s="1035">
        <v>233884</v>
      </c>
      <c r="N328" s="1114"/>
      <c r="O328" s="1119"/>
      <c r="P328" s="1119"/>
      <c r="Q328" s="1116"/>
    </row>
    <row r="329" spans="1:17" ht="15">
      <c r="A329" s="1044"/>
      <c r="B329" s="1051" t="s">
        <v>2845</v>
      </c>
      <c r="C329" s="1038"/>
      <c r="D329" s="1045">
        <v>233884</v>
      </c>
      <c r="E329" s="1038"/>
      <c r="F329" s="1038"/>
      <c r="G329" s="1038"/>
      <c r="H329" s="1045">
        <f>830518+2</f>
        <v>830520</v>
      </c>
      <c r="I329" s="1046"/>
      <c r="J329" s="1035">
        <v>1085618</v>
      </c>
      <c r="M329" s="1035">
        <v>37637.24</v>
      </c>
      <c r="N329" s="1114"/>
      <c r="O329" s="1116"/>
      <c r="P329" s="1116"/>
      <c r="Q329" s="1116"/>
    </row>
    <row r="330" spans="1:17" ht="15">
      <c r="A330" s="1044"/>
      <c r="B330" s="1051" t="s">
        <v>582</v>
      </c>
      <c r="C330" s="1038"/>
      <c r="D330" s="1045">
        <v>0</v>
      </c>
      <c r="E330" s="1038"/>
      <c r="F330" s="1038"/>
      <c r="G330" s="1038"/>
      <c r="H330" s="1045">
        <v>0</v>
      </c>
      <c r="I330" s="1046"/>
      <c r="K330" s="1035">
        <f>+D332</f>
        <v>13674153.590000009</v>
      </c>
      <c r="M330" s="1035">
        <v>441.95</v>
      </c>
      <c r="N330" s="1114"/>
      <c r="O330" s="1116"/>
      <c r="P330" s="1116"/>
      <c r="Q330" s="1116"/>
    </row>
    <row r="331" spans="1:17" ht="15">
      <c r="A331" s="1044"/>
      <c r="B331" s="1051" t="s">
        <v>2846</v>
      </c>
      <c r="C331" s="1038"/>
      <c r="D331" s="1045">
        <v>13360</v>
      </c>
      <c r="E331" s="1038"/>
      <c r="F331" s="1038"/>
      <c r="G331" s="1038"/>
      <c r="H331" s="1045">
        <v>-1044066</v>
      </c>
      <c r="I331" s="1046"/>
      <c r="K331" s="1035">
        <f>-J332</f>
        <v>-10013308.399999984</v>
      </c>
      <c r="M331" s="1035">
        <f>SUM(M328:M330)</f>
        <v>271963.19</v>
      </c>
      <c r="N331" s="1114"/>
      <c r="O331" s="1116"/>
      <c r="P331" s="1116"/>
      <c r="Q331" s="1116"/>
    </row>
    <row r="332" spans="1:17" ht="25.5">
      <c r="A332" s="1044"/>
      <c r="B332" s="1076" t="s">
        <v>2847</v>
      </c>
      <c r="C332" s="1047"/>
      <c r="D332" s="1059">
        <f>SUM(D309:D331)</f>
        <v>13674153.590000009</v>
      </c>
      <c r="E332" s="1047"/>
      <c r="F332" s="1047"/>
      <c r="G332" s="1047"/>
      <c r="H332" s="1059">
        <f>SUM(H309:H331)</f>
        <v>-488915</v>
      </c>
      <c r="I332" s="1058"/>
      <c r="J332" s="1035">
        <f>+'Cash Flow Statement'!D14</f>
        <v>10013308.399999984</v>
      </c>
      <c r="K332" s="1035">
        <f>SUM(K330:K331)</f>
        <v>3660845.1900000256</v>
      </c>
      <c r="M332" s="1035">
        <f>+M331-K332</f>
        <v>-3388882.0000000256</v>
      </c>
      <c r="N332" s="1114" t="s">
        <v>1516</v>
      </c>
      <c r="O332" s="1116">
        <v>613620.87</v>
      </c>
      <c r="P332" s="1116">
        <v>469846.4</v>
      </c>
      <c r="Q332" s="1116"/>
    </row>
    <row r="333" spans="1:17" ht="15">
      <c r="A333" s="1044"/>
      <c r="B333" s="1051" t="s">
        <v>2848</v>
      </c>
      <c r="C333" s="1051"/>
      <c r="D333" s="1093">
        <f>-SUM('Statement of Financial Position'!C37-'Statement of Financial Position'!E37)</f>
        <v>-1836392.120000009</v>
      </c>
      <c r="E333" s="1038"/>
      <c r="F333" s="1038"/>
      <c r="G333" s="1038"/>
      <c r="H333" s="1093">
        <v>217075</v>
      </c>
      <c r="I333" s="1046"/>
      <c r="M333" s="1035">
        <v>-520</v>
      </c>
      <c r="N333" s="1114" t="s">
        <v>1517</v>
      </c>
      <c r="O333" s="1116">
        <v>1757.51</v>
      </c>
      <c r="P333" s="1116">
        <v>1757.51</v>
      </c>
      <c r="Q333" s="1116"/>
    </row>
    <row r="334" spans="1:17" ht="15">
      <c r="A334" s="1044"/>
      <c r="B334" s="1051" t="s">
        <v>2849</v>
      </c>
      <c r="C334" s="1051"/>
      <c r="D334" s="1093">
        <f>-SUM('Statement of Financial Position'!C39-'Statement of Financial Position'!E39)</f>
        <v>-3817550.3100000005</v>
      </c>
      <c r="E334" s="1038"/>
      <c r="F334" s="1038"/>
      <c r="G334" s="1038"/>
      <c r="H334" s="1093">
        <v>-3770131</v>
      </c>
      <c r="I334" s="1046"/>
      <c r="M334" s="1035">
        <f>SUM(M332:M333)</f>
        <v>-3389402.0000000256</v>
      </c>
      <c r="N334" s="1114" t="s">
        <v>1518</v>
      </c>
      <c r="O334" s="1116">
        <v>0</v>
      </c>
      <c r="P334" s="1116">
        <v>857889.68</v>
      </c>
      <c r="Q334" s="1116"/>
    </row>
    <row r="335" spans="1:17" ht="15">
      <c r="A335" s="1044"/>
      <c r="B335" s="1051" t="s">
        <v>2850</v>
      </c>
      <c r="C335" s="1051"/>
      <c r="D335" s="1093">
        <f>-('Statement of Financial Position'!C40-'Statement of Financial Position'!E40)+2</f>
        <v>-1452349.9799999972</v>
      </c>
      <c r="E335" s="1038"/>
      <c r="F335" s="1038"/>
      <c r="G335" s="1038"/>
      <c r="H335" s="1093">
        <v>0</v>
      </c>
      <c r="I335" s="1046"/>
      <c r="N335" s="1114" t="s">
        <v>3245</v>
      </c>
      <c r="O335" s="1116">
        <v>11545.68</v>
      </c>
      <c r="P335" s="1116">
        <v>9783.32</v>
      </c>
      <c r="Q335" s="1116"/>
    </row>
    <row r="336" spans="1:17" ht="15">
      <c r="A336" s="1044"/>
      <c r="B336" s="1051" t="s">
        <v>2851</v>
      </c>
      <c r="C336" s="1051"/>
      <c r="D336" s="1093">
        <f>'Statement of Financial Position'!C23-'Statement of Financial Position'!E23</f>
        <v>3445447.2200000007</v>
      </c>
      <c r="E336" s="1038"/>
      <c r="F336" s="1038"/>
      <c r="G336" s="1038"/>
      <c r="H336" s="1093">
        <v>8675005</v>
      </c>
      <c r="I336" s="1046"/>
      <c r="L336" s="1035">
        <v>233884</v>
      </c>
      <c r="N336" s="1114" t="s">
        <v>775</v>
      </c>
      <c r="O336" s="1116">
        <v>3122632.29</v>
      </c>
      <c r="P336" s="1116">
        <v>567720.09</v>
      </c>
      <c r="Q336" s="1116"/>
    </row>
    <row r="337" spans="1:17" ht="15">
      <c r="A337" s="1044"/>
      <c r="B337" s="1051" t="s">
        <v>580</v>
      </c>
      <c r="C337" s="1051"/>
      <c r="D337" s="1093">
        <v>0</v>
      </c>
      <c r="E337" s="1038"/>
      <c r="F337" s="1038"/>
      <c r="G337" s="1038"/>
      <c r="H337" s="1093">
        <v>627121</v>
      </c>
      <c r="I337" s="1046"/>
      <c r="J337" s="1035">
        <f>+D332</f>
        <v>13674153.590000009</v>
      </c>
      <c r="K337" s="1035">
        <f>K340*2</f>
        <v>0</v>
      </c>
      <c r="L337" s="1035">
        <v>26700</v>
      </c>
      <c r="N337" s="1114"/>
      <c r="O337" s="1116"/>
      <c r="P337" s="1116"/>
      <c r="Q337" s="1116"/>
    </row>
    <row r="338" spans="1:17" ht="15">
      <c r="A338" s="1044"/>
      <c r="B338" s="1051" t="s">
        <v>583</v>
      </c>
      <c r="C338" s="1051"/>
      <c r="D338" s="1093"/>
      <c r="E338" s="1038"/>
      <c r="F338" s="1038"/>
      <c r="G338" s="1038"/>
      <c r="H338" s="1045">
        <v>1236697</v>
      </c>
      <c r="I338" s="1046"/>
      <c r="J338" s="1035">
        <f>+'Cash Flow Statement'!D14</f>
        <v>10013308.399999984</v>
      </c>
      <c r="L338" s="1035">
        <v>-25723</v>
      </c>
      <c r="N338" s="1114"/>
      <c r="O338" s="1116"/>
      <c r="P338" s="1116"/>
      <c r="Q338" s="1116"/>
    </row>
    <row r="339" spans="1:17" ht="15">
      <c r="A339" s="1044"/>
      <c r="B339" s="1051"/>
      <c r="C339" s="1051"/>
      <c r="D339" s="1093"/>
      <c r="E339" s="1038"/>
      <c r="F339" s="1038"/>
      <c r="G339" s="1038"/>
      <c r="H339" s="1093" t="s">
        <v>55</v>
      </c>
      <c r="I339" s="1046"/>
      <c r="J339" s="1035">
        <f>+D332-D340</f>
        <v>3660845.1900000051</v>
      </c>
      <c r="K339" s="1035">
        <f>K340/2</f>
        <v>0</v>
      </c>
      <c r="L339" s="1035">
        <f>SUM(L337:L338)</f>
        <v>977</v>
      </c>
      <c r="N339" s="1114" t="s">
        <v>2755</v>
      </c>
      <c r="O339" s="1116">
        <v>112330.01</v>
      </c>
      <c r="P339" s="1116">
        <v>112330.01</v>
      </c>
      <c r="Q339" s="1116"/>
    </row>
    <row r="340" spans="1:17" ht="15.75" thickBot="1">
      <c r="A340" s="1044"/>
      <c r="B340" s="1120" t="s">
        <v>2852</v>
      </c>
      <c r="C340" s="1120"/>
      <c r="D340" s="1094">
        <f>SUM(D332:D339)</f>
        <v>10013308.400000004</v>
      </c>
      <c r="E340" s="1047"/>
      <c r="F340" s="1047"/>
      <c r="G340" s="1047"/>
      <c r="H340" s="1094">
        <f>SUM(H332:H339)</f>
        <v>6496852</v>
      </c>
      <c r="I340" s="1058"/>
      <c r="J340" s="1035">
        <v>0</v>
      </c>
      <c r="N340" s="1114" t="s">
        <v>1529</v>
      </c>
      <c r="O340" s="1116">
        <v>25754.28</v>
      </c>
      <c r="P340" s="1116">
        <v>25754.28</v>
      </c>
      <c r="Q340" s="1116"/>
    </row>
    <row r="341" spans="1:17" ht="16.5" thickTop="1" thickBot="1">
      <c r="A341" s="1062"/>
      <c r="B341" s="1063"/>
      <c r="C341" s="1063"/>
      <c r="D341" s="1064"/>
      <c r="E341" s="1063"/>
      <c r="F341" s="1063"/>
      <c r="G341" s="1063"/>
      <c r="H341" s="1064"/>
      <c r="I341" s="1065"/>
      <c r="J341" s="1035">
        <f>'Cash Flow Statement'!D14</f>
        <v>10013308.399999984</v>
      </c>
      <c r="K341" s="1035" t="s">
        <v>55</v>
      </c>
      <c r="N341" s="1114"/>
      <c r="O341" s="1117">
        <f>SUM(O332:O340)</f>
        <v>3887640.6399999997</v>
      </c>
      <c r="P341" s="1117">
        <f>SUM(P332:P340)</f>
        <v>2045081.29</v>
      </c>
      <c r="Q341" s="1116">
        <f>O341-P341</f>
        <v>1842559.3499999996</v>
      </c>
    </row>
    <row r="342" spans="1:17" ht="15.75" thickTop="1">
      <c r="A342" s="1121"/>
      <c r="B342" s="1122"/>
      <c r="C342" s="1122"/>
      <c r="D342" s="1123"/>
      <c r="E342" s="1122"/>
      <c r="F342" s="1122"/>
      <c r="G342" s="1122"/>
      <c r="H342" s="1123"/>
      <c r="I342" s="1124"/>
      <c r="J342" s="1035">
        <f>D340-J341</f>
        <v>2.0489096641540527E-8</v>
      </c>
      <c r="N342" s="1114"/>
      <c r="O342" s="1125"/>
      <c r="P342" s="1116"/>
      <c r="Q342" s="1116"/>
    </row>
    <row r="343" spans="1:17">
      <c r="A343" s="1049"/>
      <c r="B343" s="1126"/>
      <c r="C343" s="1126"/>
      <c r="D343" s="1127" t="s">
        <v>2241</v>
      </c>
      <c r="E343" s="1126"/>
      <c r="F343" s="1126"/>
      <c r="G343" s="1126"/>
      <c r="H343" s="1127" t="s">
        <v>3558</v>
      </c>
      <c r="I343" s="1128"/>
      <c r="O343" s="1129"/>
    </row>
    <row r="344" spans="1:17">
      <c r="A344" s="1049"/>
      <c r="B344" s="1126"/>
      <c r="C344" s="1126"/>
      <c r="D344" s="1130" t="s">
        <v>3386</v>
      </c>
      <c r="E344" s="1126"/>
      <c r="F344" s="1126"/>
      <c r="G344" s="1126"/>
      <c r="H344" s="1130" t="s">
        <v>3386</v>
      </c>
      <c r="I344" s="1128"/>
    </row>
    <row r="345" spans="1:17" ht="25.5">
      <c r="A345" s="1072" t="s">
        <v>1012</v>
      </c>
      <c r="B345" s="1076" t="s">
        <v>2853</v>
      </c>
      <c r="C345" s="1038"/>
      <c r="D345" s="1045"/>
      <c r="E345" s="1038"/>
      <c r="F345" s="1038"/>
      <c r="G345" s="1038"/>
      <c r="H345" s="1045"/>
      <c r="I345" s="1046"/>
    </row>
    <row r="346" spans="1:17">
      <c r="A346" s="1044"/>
      <c r="B346" s="1075" t="s">
        <v>2854</v>
      </c>
      <c r="C346" s="1038"/>
      <c r="D346" s="1045"/>
      <c r="E346" s="1038"/>
      <c r="F346" s="1038"/>
      <c r="G346" s="1038"/>
      <c r="H346" s="1045"/>
      <c r="I346" s="1046"/>
    </row>
    <row r="347" spans="1:17" ht="25.5">
      <c r="A347" s="1044"/>
      <c r="B347" s="1075" t="s">
        <v>2855</v>
      </c>
      <c r="C347" s="1038"/>
      <c r="D347" s="1045"/>
      <c r="E347" s="1038"/>
      <c r="F347" s="1038"/>
      <c r="G347" s="1038"/>
      <c r="H347" s="1045"/>
      <c r="I347" s="1046"/>
    </row>
    <row r="348" spans="1:17">
      <c r="A348" s="1044"/>
      <c r="B348" s="1076" t="s">
        <v>705</v>
      </c>
      <c r="C348" s="1038"/>
      <c r="D348" s="1059">
        <f>SUM(D346:D347)</f>
        <v>0</v>
      </c>
      <c r="E348" s="1038"/>
      <c r="F348" s="1038"/>
      <c r="G348" s="1038"/>
      <c r="H348" s="1059"/>
      <c r="I348" s="1046"/>
    </row>
    <row r="349" spans="1:17" ht="25.5">
      <c r="A349" s="1044"/>
      <c r="B349" s="1075" t="s">
        <v>2856</v>
      </c>
      <c r="C349" s="1038"/>
      <c r="D349" s="1045"/>
      <c r="E349" s="1038"/>
      <c r="F349" s="1038"/>
      <c r="G349" s="1038"/>
      <c r="H349" s="1045"/>
      <c r="I349" s="1046"/>
    </row>
    <row r="350" spans="1:17" ht="25.5">
      <c r="A350" s="1044"/>
      <c r="B350" s="1075" t="s">
        <v>2857</v>
      </c>
      <c r="C350" s="1038"/>
      <c r="D350" s="1045"/>
      <c r="E350" s="1038"/>
      <c r="F350" s="1038"/>
      <c r="G350" s="1038"/>
      <c r="H350" s="1045"/>
      <c r="I350" s="1046"/>
    </row>
    <row r="351" spans="1:17" ht="26.25" thickBot="1">
      <c r="A351" s="1044"/>
      <c r="B351" s="1076" t="s">
        <v>2858</v>
      </c>
      <c r="C351" s="1038"/>
      <c r="D351" s="1077">
        <f>SUM(D348:D350)</f>
        <v>0</v>
      </c>
      <c r="E351" s="1038"/>
      <c r="F351" s="1038"/>
      <c r="G351" s="1038"/>
      <c r="H351" s="1077">
        <f>SUM(H348:H350)</f>
        <v>0</v>
      </c>
      <c r="I351" s="1046"/>
    </row>
    <row r="352" spans="1:17" ht="13.5" thickTop="1">
      <c r="A352" s="1062"/>
      <c r="B352" s="1063"/>
      <c r="C352" s="1063"/>
      <c r="D352" s="1064"/>
      <c r="E352" s="1063"/>
      <c r="F352" s="1063"/>
      <c r="G352" s="1063"/>
      <c r="H352" s="1064"/>
      <c r="I352" s="1065"/>
    </row>
    <row r="353" spans="1:9">
      <c r="A353" s="1066"/>
      <c r="B353" s="1042"/>
      <c r="C353" s="1042"/>
      <c r="D353" s="1041"/>
      <c r="E353" s="1042"/>
      <c r="F353" s="1042"/>
      <c r="G353" s="1042"/>
      <c r="H353" s="1041"/>
      <c r="I353" s="1043"/>
    </row>
    <row r="354" spans="1:9">
      <c r="A354" s="1044"/>
      <c r="B354" s="1067"/>
      <c r="C354" s="1067"/>
      <c r="D354" s="1068" t="s">
        <v>2241</v>
      </c>
      <c r="E354" s="1067"/>
      <c r="F354" s="1067"/>
      <c r="G354" s="1067"/>
      <c r="H354" s="1068" t="s">
        <v>3558</v>
      </c>
      <c r="I354" s="1069"/>
    </row>
    <row r="355" spans="1:9">
      <c r="A355" s="1044"/>
      <c r="B355" s="1067"/>
      <c r="C355" s="1067"/>
      <c r="D355" s="1071" t="s">
        <v>3386</v>
      </c>
      <c r="E355" s="1067"/>
      <c r="F355" s="1067"/>
      <c r="G355" s="1067"/>
      <c r="H355" s="1071" t="s">
        <v>3386</v>
      </c>
      <c r="I355" s="1069"/>
    </row>
    <row r="356" spans="1:9">
      <c r="A356" s="1072" t="s">
        <v>1013</v>
      </c>
      <c r="B356" s="1076" t="s">
        <v>2859</v>
      </c>
      <c r="C356" s="1075"/>
      <c r="D356" s="1059"/>
      <c r="E356" s="1047"/>
      <c r="F356" s="1047"/>
      <c r="G356" s="1047"/>
      <c r="H356" s="1059"/>
      <c r="I356" s="1058"/>
    </row>
    <row r="357" spans="1:9">
      <c r="A357" s="1044"/>
      <c r="B357" s="1075" t="s">
        <v>2860</v>
      </c>
      <c r="C357" s="1075"/>
      <c r="D357" s="1045"/>
      <c r="E357" s="1038"/>
      <c r="F357" s="1038"/>
      <c r="G357" s="1038"/>
      <c r="H357" s="1045"/>
      <c r="I357" s="1046"/>
    </row>
    <row r="358" spans="1:9">
      <c r="A358" s="1044"/>
      <c r="B358" s="1076" t="s">
        <v>2861</v>
      </c>
      <c r="C358" s="1075"/>
      <c r="D358" s="1059">
        <f>SUM(D359:D361)</f>
        <v>0</v>
      </c>
      <c r="E358" s="1038"/>
      <c r="F358" s="1038"/>
      <c r="G358" s="1038"/>
      <c r="H358" s="1059">
        <f>SUM(H359:H361)</f>
        <v>0</v>
      </c>
      <c r="I358" s="1046"/>
    </row>
    <row r="359" spans="1:9">
      <c r="A359" s="1044"/>
      <c r="B359" s="1075" t="s">
        <v>2862</v>
      </c>
      <c r="C359" s="1075"/>
      <c r="D359" s="1052"/>
      <c r="E359" s="1038"/>
      <c r="F359" s="1038"/>
      <c r="G359" s="1038"/>
      <c r="H359" s="1052"/>
      <c r="I359" s="1046"/>
    </row>
    <row r="360" spans="1:9">
      <c r="A360" s="1044"/>
      <c r="B360" s="1075" t="s">
        <v>2863</v>
      </c>
      <c r="C360" s="1038"/>
      <c r="D360" s="1054"/>
      <c r="E360" s="1038"/>
      <c r="F360" s="1038"/>
      <c r="G360" s="1038"/>
      <c r="H360" s="1054"/>
      <c r="I360" s="1046"/>
    </row>
    <row r="361" spans="1:9">
      <c r="A361" s="1044"/>
      <c r="B361" s="1075" t="s">
        <v>3203</v>
      </c>
      <c r="C361" s="1038"/>
      <c r="D361" s="1097"/>
      <c r="E361" s="1038"/>
      <c r="F361" s="1038"/>
      <c r="G361" s="1038"/>
      <c r="H361" s="1097"/>
      <c r="I361" s="1046"/>
    </row>
    <row r="362" spans="1:9">
      <c r="A362" s="1044"/>
      <c r="B362" s="1076" t="s">
        <v>3204</v>
      </c>
      <c r="C362" s="1038"/>
      <c r="D362" s="1059">
        <f>SUM(D363:D367)</f>
        <v>0</v>
      </c>
      <c r="E362" s="1038"/>
      <c r="F362" s="1038"/>
      <c r="G362" s="1038"/>
      <c r="H362" s="1059">
        <f>SUM(H363:H367)</f>
        <v>0</v>
      </c>
      <c r="I362" s="1046"/>
    </row>
    <row r="363" spans="1:9">
      <c r="A363" s="1044"/>
      <c r="B363" s="1075" t="s">
        <v>3205</v>
      </c>
      <c r="C363" s="1038"/>
      <c r="D363" s="1052"/>
      <c r="E363" s="1038"/>
      <c r="F363" s="1038"/>
      <c r="G363" s="1038"/>
      <c r="H363" s="1052"/>
      <c r="I363" s="1046"/>
    </row>
    <row r="364" spans="1:9">
      <c r="A364" s="1044"/>
      <c r="B364" s="1075" t="s">
        <v>2862</v>
      </c>
      <c r="C364" s="1038"/>
      <c r="D364" s="1054"/>
      <c r="E364" s="1038"/>
      <c r="F364" s="1038"/>
      <c r="G364" s="1038"/>
      <c r="H364" s="1054"/>
      <c r="I364" s="1046"/>
    </row>
    <row r="365" spans="1:9">
      <c r="A365" s="1044"/>
      <c r="B365" s="1075" t="s">
        <v>2863</v>
      </c>
      <c r="C365" s="1038"/>
      <c r="D365" s="1054"/>
      <c r="E365" s="1038"/>
      <c r="F365" s="1038"/>
      <c r="G365" s="1038"/>
      <c r="H365" s="1054"/>
      <c r="I365" s="1046"/>
    </row>
    <row r="366" spans="1:9">
      <c r="A366" s="1044"/>
      <c r="B366" s="1075" t="s">
        <v>3203</v>
      </c>
      <c r="C366" s="1038"/>
      <c r="D366" s="1054"/>
      <c r="E366" s="1038"/>
      <c r="F366" s="1038"/>
      <c r="G366" s="1038"/>
      <c r="H366" s="1054"/>
      <c r="I366" s="1046"/>
    </row>
    <row r="367" spans="1:9">
      <c r="A367" s="1044"/>
      <c r="B367" s="1075" t="s">
        <v>3206</v>
      </c>
      <c r="C367" s="1038"/>
      <c r="D367" s="1097"/>
      <c r="E367" s="1038"/>
      <c r="F367" s="1038"/>
      <c r="G367" s="1038"/>
      <c r="H367" s="1097">
        <v>0</v>
      </c>
      <c r="I367" s="1046"/>
    </row>
    <row r="368" spans="1:9">
      <c r="A368" s="1044"/>
      <c r="B368" s="1075"/>
      <c r="C368" s="1038"/>
      <c r="D368" s="1045"/>
      <c r="E368" s="1038"/>
      <c r="F368" s="1038"/>
      <c r="G368" s="1038"/>
      <c r="H368" s="1045"/>
      <c r="I368" s="1046"/>
    </row>
    <row r="369" spans="1:9" ht="13.5" thickBot="1">
      <c r="A369" s="1044"/>
      <c r="B369" s="1076" t="s">
        <v>2384</v>
      </c>
      <c r="C369" s="1038"/>
      <c r="D369" s="1077">
        <f>D362+D358</f>
        <v>0</v>
      </c>
      <c r="E369" s="1038"/>
      <c r="F369" s="1038"/>
      <c r="G369" s="1038"/>
      <c r="H369" s="1077">
        <f>H362+H358</f>
        <v>0</v>
      </c>
      <c r="I369" s="1046"/>
    </row>
    <row r="370" spans="1:9" ht="13.5" thickTop="1">
      <c r="A370" s="1044"/>
      <c r="B370" s="1076"/>
      <c r="C370" s="1038"/>
      <c r="D370" s="1045"/>
      <c r="E370" s="1038"/>
      <c r="F370" s="1038"/>
      <c r="G370" s="1038"/>
      <c r="H370" s="1045"/>
      <c r="I370" s="1046"/>
    </row>
    <row r="371" spans="1:9">
      <c r="A371" s="1044"/>
      <c r="B371" s="1076" t="s">
        <v>3207</v>
      </c>
      <c r="C371" s="1038"/>
      <c r="D371" s="1045"/>
      <c r="E371" s="1038"/>
      <c r="F371" s="1038"/>
      <c r="G371" s="1038"/>
      <c r="H371" s="1045"/>
      <c r="I371" s="1046"/>
    </row>
    <row r="372" spans="1:9">
      <c r="A372" s="1044"/>
      <c r="B372" s="1075" t="s">
        <v>3208</v>
      </c>
      <c r="C372" s="1038"/>
      <c r="D372" s="1052">
        <v>0</v>
      </c>
      <c r="E372" s="1038"/>
      <c r="F372" s="1038"/>
      <c r="G372" s="1038"/>
      <c r="H372" s="1052"/>
      <c r="I372" s="1046"/>
    </row>
    <row r="373" spans="1:9">
      <c r="A373" s="1044"/>
      <c r="B373" s="1075" t="s">
        <v>929</v>
      </c>
      <c r="C373" s="1038"/>
      <c r="D373" s="1054"/>
      <c r="E373" s="1038"/>
      <c r="F373" s="1038"/>
      <c r="G373" s="1038"/>
      <c r="H373" s="1054"/>
      <c r="I373" s="1046"/>
    </row>
    <row r="374" spans="1:9">
      <c r="A374" s="1044"/>
      <c r="B374" s="1075" t="s">
        <v>3209</v>
      </c>
      <c r="C374" s="1038"/>
      <c r="D374" s="1097"/>
      <c r="E374" s="1038"/>
      <c r="F374" s="1038"/>
      <c r="G374" s="1038"/>
      <c r="H374" s="1097"/>
      <c r="I374" s="1046"/>
    </row>
    <row r="375" spans="1:9">
      <c r="A375" s="1044"/>
      <c r="B375" s="1075"/>
      <c r="C375" s="1038"/>
      <c r="D375" s="1045"/>
      <c r="E375" s="1038"/>
      <c r="F375" s="1038"/>
      <c r="G375" s="1038"/>
      <c r="H375" s="1045"/>
      <c r="I375" s="1046"/>
    </row>
    <row r="376" spans="1:9" ht="13.5" thickBot="1">
      <c r="A376" s="1044"/>
      <c r="B376" s="1076" t="s">
        <v>2384</v>
      </c>
      <c r="C376" s="1038"/>
      <c r="D376" s="1077">
        <f>SUM(D372:D374)</f>
        <v>0</v>
      </c>
      <c r="E376" s="1038"/>
      <c r="F376" s="1038"/>
      <c r="G376" s="1038"/>
      <c r="H376" s="1077">
        <f>SUM(H372:H374)</f>
        <v>0</v>
      </c>
      <c r="I376" s="1046"/>
    </row>
    <row r="377" spans="1:9" ht="13.5" thickTop="1">
      <c r="A377" s="1062"/>
      <c r="B377" s="1063"/>
      <c r="C377" s="1063"/>
      <c r="D377" s="1064"/>
      <c r="E377" s="1063"/>
      <c r="F377" s="1063"/>
      <c r="G377" s="1063"/>
      <c r="H377" s="1064"/>
      <c r="I377" s="1065"/>
    </row>
    <row r="378" spans="1:9">
      <c r="A378" s="1066"/>
      <c r="B378" s="1042"/>
      <c r="C378" s="1042"/>
      <c r="D378" s="1041"/>
      <c r="E378" s="1042"/>
      <c r="F378" s="1042"/>
      <c r="G378" s="1042"/>
      <c r="H378" s="1041"/>
      <c r="I378" s="1043"/>
    </row>
    <row r="379" spans="1:9">
      <c r="A379" s="1044"/>
      <c r="B379" s="1038"/>
      <c r="C379" s="1038"/>
      <c r="D379" s="1068" t="s">
        <v>2241</v>
      </c>
      <c r="E379" s="1067"/>
      <c r="F379" s="1067"/>
      <c r="G379" s="1067"/>
      <c r="H379" s="1068" t="s">
        <v>3558</v>
      </c>
      <c r="I379" s="1046"/>
    </row>
    <row r="380" spans="1:9">
      <c r="A380" s="1044"/>
      <c r="B380" s="1038"/>
      <c r="C380" s="1038"/>
      <c r="D380" s="1071" t="s">
        <v>3386</v>
      </c>
      <c r="E380" s="1067"/>
      <c r="F380" s="1067"/>
      <c r="G380" s="1067"/>
      <c r="H380" s="1071" t="s">
        <v>3386</v>
      </c>
      <c r="I380" s="1046"/>
    </row>
    <row r="381" spans="1:9">
      <c r="A381" s="1044"/>
      <c r="B381" s="1038"/>
      <c r="C381" s="1038"/>
      <c r="D381" s="1045"/>
      <c r="E381" s="1038"/>
      <c r="F381" s="1038"/>
      <c r="G381" s="1038"/>
      <c r="H381" s="1045"/>
      <c r="I381" s="1046"/>
    </row>
    <row r="382" spans="1:9" ht="38.25">
      <c r="A382" s="1072" t="s">
        <v>1014</v>
      </c>
      <c r="B382" s="1076" t="s">
        <v>3450</v>
      </c>
      <c r="C382" s="1038"/>
      <c r="D382" s="1045"/>
      <c r="E382" s="1038"/>
      <c r="F382" s="1038"/>
      <c r="G382" s="1038"/>
      <c r="H382" s="1045"/>
      <c r="I382" s="1046"/>
    </row>
    <row r="383" spans="1:9">
      <c r="A383" s="1044"/>
      <c r="B383" s="1076" t="s">
        <v>3210</v>
      </c>
      <c r="C383" s="1038"/>
      <c r="D383" s="1045"/>
      <c r="E383" s="1038"/>
      <c r="F383" s="1038"/>
      <c r="G383" s="1038"/>
      <c r="H383" s="1045"/>
      <c r="I383" s="1046"/>
    </row>
    <row r="384" spans="1:9">
      <c r="A384" s="1044"/>
      <c r="B384" s="1075" t="s">
        <v>3211</v>
      </c>
      <c r="C384" s="1038"/>
      <c r="D384" s="1045"/>
      <c r="E384" s="1038"/>
      <c r="F384" s="1038"/>
      <c r="G384" s="1038"/>
      <c r="H384" s="1045"/>
      <c r="I384" s="1046"/>
    </row>
    <row r="385" spans="1:9">
      <c r="A385" s="1044"/>
      <c r="B385" s="1075" t="s">
        <v>3212</v>
      </c>
      <c r="C385" s="1038"/>
      <c r="D385" s="1045">
        <f>SUM('TRAIL BALANCE'!C47)</f>
        <v>77300.97</v>
      </c>
      <c r="E385" s="1038"/>
      <c r="F385" s="1038"/>
      <c r="G385" s="1038"/>
      <c r="H385" s="1045">
        <v>70482</v>
      </c>
      <c r="I385" s="1046"/>
    </row>
    <row r="386" spans="1:9" ht="13.5" thickBot="1">
      <c r="A386" s="1044"/>
      <c r="B386" s="1076" t="s">
        <v>3213</v>
      </c>
      <c r="C386" s="1038"/>
      <c r="D386" s="1077">
        <f>SUM(D384:D385)</f>
        <v>77300.97</v>
      </c>
      <c r="E386" s="1038"/>
      <c r="F386" s="1038"/>
      <c r="G386" s="1038"/>
      <c r="H386" s="1077">
        <f>SUM(H384:H385)</f>
        <v>70482</v>
      </c>
      <c r="I386" s="1046"/>
    </row>
    <row r="387" spans="1:9" ht="13.5" thickTop="1">
      <c r="A387" s="1044"/>
      <c r="B387" s="1038"/>
      <c r="C387" s="1038"/>
      <c r="D387" s="1045"/>
      <c r="E387" s="1038"/>
      <c r="F387" s="1038"/>
      <c r="G387" s="1038"/>
      <c r="H387" s="1045"/>
      <c r="I387" s="1046"/>
    </row>
    <row r="388" spans="1:9">
      <c r="A388" s="1044"/>
      <c r="B388" s="1076" t="s">
        <v>3214</v>
      </c>
      <c r="C388" s="1038"/>
      <c r="D388" s="1045"/>
      <c r="E388" s="1038"/>
      <c r="F388" s="1038"/>
      <c r="G388" s="1038"/>
      <c r="H388" s="1045"/>
      <c r="I388" s="1046"/>
    </row>
    <row r="389" spans="1:9">
      <c r="A389" s="1044"/>
      <c r="B389" s="1075" t="s">
        <v>3215</v>
      </c>
      <c r="C389" s="1038"/>
      <c r="D389" s="1045"/>
      <c r="E389" s="1038"/>
      <c r="F389" s="1038"/>
      <c r="G389" s="1038"/>
      <c r="H389" s="1045"/>
      <c r="I389" s="1046"/>
    </row>
    <row r="390" spans="1:9">
      <c r="A390" s="1044"/>
      <c r="B390" s="1075" t="s">
        <v>3212</v>
      </c>
      <c r="C390" s="1038"/>
      <c r="D390" s="1045">
        <f>SUM('TRAIL BALANCE'!C244)</f>
        <v>870002.64</v>
      </c>
      <c r="E390" s="1038"/>
      <c r="F390" s="1038"/>
      <c r="G390" s="1038"/>
      <c r="H390" s="1045">
        <v>60436</v>
      </c>
      <c r="I390" s="1046"/>
    </row>
    <row r="391" spans="1:9" ht="13.5" thickBot="1">
      <c r="A391" s="1044"/>
      <c r="B391" s="1076" t="s">
        <v>3213</v>
      </c>
      <c r="C391" s="1038"/>
      <c r="D391" s="1077">
        <f>SUM(D389:D390)</f>
        <v>870002.64</v>
      </c>
      <c r="E391" s="1038"/>
      <c r="F391" s="1038"/>
      <c r="G391" s="1038"/>
      <c r="H391" s="1077">
        <f>SUM(H389:H390)</f>
        <v>60436</v>
      </c>
      <c r="I391" s="1046"/>
    </row>
    <row r="392" spans="1:9" ht="13.5" thickTop="1">
      <c r="A392" s="1044"/>
      <c r="B392" s="1038"/>
      <c r="C392" s="1038"/>
      <c r="D392" s="1045"/>
      <c r="E392" s="1038"/>
      <c r="F392" s="1038"/>
      <c r="G392" s="1038"/>
      <c r="H392" s="1045"/>
      <c r="I392" s="1046"/>
    </row>
    <row r="393" spans="1:9">
      <c r="A393" s="1044"/>
      <c r="B393" s="1076" t="s">
        <v>1138</v>
      </c>
      <c r="C393" s="1038"/>
      <c r="D393" s="1045"/>
      <c r="E393" s="1038"/>
      <c r="F393" s="1038"/>
      <c r="G393" s="1038"/>
      <c r="H393" s="1045"/>
      <c r="I393" s="1046"/>
    </row>
    <row r="394" spans="1:9">
      <c r="A394" s="1044"/>
      <c r="B394" s="1076" t="s">
        <v>3216</v>
      </c>
      <c r="C394" s="1038"/>
      <c r="D394" s="1045"/>
      <c r="E394" s="1038"/>
      <c r="F394" s="1038"/>
      <c r="G394" s="1038"/>
      <c r="H394" s="1045"/>
      <c r="I394" s="1046"/>
    </row>
    <row r="395" spans="1:9">
      <c r="A395" s="1044"/>
      <c r="B395" s="1075" t="s">
        <v>3559</v>
      </c>
      <c r="C395" s="1038"/>
      <c r="D395" s="1045"/>
      <c r="E395" s="1038"/>
      <c r="F395" s="1038"/>
      <c r="G395" s="1038"/>
      <c r="H395" s="1045"/>
      <c r="I395" s="1046"/>
    </row>
    <row r="396" spans="1:9">
      <c r="A396" s="1044"/>
      <c r="B396" s="1075" t="s">
        <v>3217</v>
      </c>
      <c r="C396" s="1038"/>
      <c r="D396" s="1045">
        <v>4793221</v>
      </c>
      <c r="E396" s="1038"/>
      <c r="F396" s="1038"/>
      <c r="G396" s="1038"/>
      <c r="H396" s="1045"/>
      <c r="I396" s="1046"/>
    </row>
    <row r="397" spans="1:9">
      <c r="A397" s="1044"/>
      <c r="B397" s="1076" t="s">
        <v>3218</v>
      </c>
      <c r="C397" s="1038"/>
      <c r="D397" s="1045"/>
      <c r="E397" s="1038"/>
      <c r="F397" s="1038"/>
      <c r="G397" s="1038"/>
      <c r="H397" s="1045"/>
      <c r="I397" s="1046"/>
    </row>
    <row r="398" spans="1:9">
      <c r="A398" s="1044"/>
      <c r="B398" s="1075" t="s">
        <v>3219</v>
      </c>
      <c r="C398" s="1038"/>
      <c r="D398" s="1045"/>
      <c r="E398" s="1038"/>
      <c r="F398" s="1038"/>
      <c r="G398" s="1038"/>
      <c r="H398" s="1045"/>
      <c r="I398" s="1046"/>
    </row>
    <row r="399" spans="1:9">
      <c r="A399" s="1044"/>
      <c r="B399" s="1075" t="s">
        <v>3212</v>
      </c>
      <c r="C399" s="1038"/>
      <c r="D399" s="1045">
        <v>6811756</v>
      </c>
      <c r="E399" s="1038"/>
      <c r="F399" s="1038"/>
      <c r="G399" s="1038"/>
      <c r="H399" s="1045"/>
      <c r="I399" s="1046"/>
    </row>
    <row r="400" spans="1:9" ht="13.5" thickBot="1">
      <c r="A400" s="1044"/>
      <c r="B400" s="1076" t="s">
        <v>609</v>
      </c>
      <c r="C400" s="1038"/>
      <c r="D400" s="1077">
        <f>D399-D396</f>
        <v>2018535</v>
      </c>
      <c r="E400" s="1038"/>
      <c r="F400" s="1038" t="s">
        <v>3109</v>
      </c>
      <c r="G400" s="1038"/>
      <c r="H400" s="1077">
        <f>SUM(H398:H399)</f>
        <v>0</v>
      </c>
      <c r="I400" s="1046"/>
    </row>
    <row r="401" spans="1:9" ht="13.5" thickTop="1">
      <c r="A401" s="1044"/>
      <c r="B401" s="1038"/>
      <c r="C401" s="1038"/>
      <c r="D401" s="1045"/>
      <c r="E401" s="1038"/>
      <c r="F401" s="1038"/>
      <c r="G401" s="1038"/>
      <c r="H401" s="1045"/>
      <c r="I401" s="1046"/>
    </row>
    <row r="402" spans="1:9" ht="76.5">
      <c r="A402" s="1086"/>
      <c r="B402" s="1060" t="s">
        <v>3102</v>
      </c>
      <c r="C402" s="1060"/>
      <c r="D402" s="1060"/>
      <c r="E402" s="1060"/>
      <c r="F402" s="1060"/>
      <c r="G402" s="1060"/>
      <c r="H402" s="1060"/>
      <c r="I402" s="1087"/>
    </row>
    <row r="403" spans="1:9">
      <c r="A403" s="1044"/>
      <c r="B403" s="1038"/>
      <c r="C403" s="1038"/>
      <c r="D403" s="1045"/>
      <c r="E403" s="1038"/>
      <c r="F403" s="1038"/>
      <c r="G403" s="1038"/>
      <c r="H403" s="1045"/>
      <c r="I403" s="1046"/>
    </row>
    <row r="404" spans="1:9">
      <c r="A404" s="1044"/>
      <c r="B404" s="1076" t="s">
        <v>3103</v>
      </c>
      <c r="C404" s="1038"/>
      <c r="D404" s="1045"/>
      <c r="E404" s="1038"/>
      <c r="F404" s="1038"/>
      <c r="G404" s="1038"/>
      <c r="H404" s="1045"/>
      <c r="I404" s="1046"/>
    </row>
    <row r="405" spans="1:9">
      <c r="A405" s="1044"/>
      <c r="B405" s="1075" t="s">
        <v>3104</v>
      </c>
      <c r="C405" s="1038"/>
      <c r="D405" s="1045"/>
      <c r="E405" s="1038"/>
      <c r="F405" s="1038"/>
      <c r="G405" s="1038"/>
      <c r="H405" s="1045"/>
      <c r="I405" s="1046"/>
    </row>
    <row r="406" spans="1:9">
      <c r="A406" s="1044"/>
      <c r="B406" s="1075" t="s">
        <v>3212</v>
      </c>
      <c r="C406" s="1038"/>
      <c r="D406" s="1045">
        <v>3078477</v>
      </c>
      <c r="E406" s="1038"/>
      <c r="F406" s="1038"/>
      <c r="G406" s="1038"/>
      <c r="H406" s="1045">
        <v>2318905</v>
      </c>
      <c r="I406" s="1046"/>
    </row>
    <row r="407" spans="1:9" ht="13.5" thickBot="1">
      <c r="A407" s="1044"/>
      <c r="B407" s="1076" t="s">
        <v>3105</v>
      </c>
      <c r="C407" s="1038"/>
      <c r="D407" s="1077">
        <f>SUM(D405:D406)</f>
        <v>3078477</v>
      </c>
      <c r="E407" s="1038"/>
      <c r="F407" s="1038"/>
      <c r="G407" s="1038"/>
      <c r="H407" s="1077">
        <f>SUM(H405:H406)</f>
        <v>2318905</v>
      </c>
      <c r="I407" s="1046"/>
    </row>
    <row r="408" spans="1:9" ht="13.5" thickTop="1">
      <c r="A408" s="1044"/>
      <c r="B408" s="1076"/>
      <c r="C408" s="1038"/>
      <c r="D408" s="1045"/>
      <c r="E408" s="1038"/>
      <c r="F408" s="1038"/>
      <c r="G408" s="1038"/>
      <c r="H408" s="1045"/>
      <c r="I408" s="1046"/>
    </row>
    <row r="409" spans="1:9">
      <c r="A409" s="1044"/>
      <c r="B409" s="1076" t="s">
        <v>3106</v>
      </c>
      <c r="C409" s="1038"/>
      <c r="D409" s="1045"/>
      <c r="E409" s="1038"/>
      <c r="F409" s="1038"/>
      <c r="G409" s="1038"/>
      <c r="H409" s="1045"/>
      <c r="I409" s="1046"/>
    </row>
    <row r="410" spans="1:9">
      <c r="A410" s="1044"/>
      <c r="B410" s="1075" t="s">
        <v>3104</v>
      </c>
      <c r="C410" s="1038"/>
      <c r="D410" s="1045"/>
      <c r="E410" s="1038"/>
      <c r="F410" s="1038"/>
      <c r="G410" s="1038"/>
      <c r="H410" s="1045"/>
      <c r="I410" s="1046"/>
    </row>
    <row r="411" spans="1:9">
      <c r="A411" s="1044"/>
      <c r="B411" s="1075" t="s">
        <v>3212</v>
      </c>
      <c r="C411" s="1038"/>
      <c r="D411" s="1045">
        <v>192083</v>
      </c>
      <c r="E411" s="1038"/>
      <c r="F411" s="1038"/>
      <c r="G411" s="1038"/>
      <c r="H411" s="1045">
        <v>154509</v>
      </c>
      <c r="I411" s="1046"/>
    </row>
    <row r="412" spans="1:9" ht="13.5" thickBot="1">
      <c r="A412" s="1044"/>
      <c r="B412" s="1076" t="s">
        <v>3105</v>
      </c>
      <c r="C412" s="1038"/>
      <c r="D412" s="1077">
        <f>SUM(D410:D411)</f>
        <v>192083</v>
      </c>
      <c r="E412" s="1038"/>
      <c r="F412" s="1038"/>
      <c r="G412" s="1038"/>
      <c r="H412" s="1077">
        <f>SUM(H410:H411)</f>
        <v>154509</v>
      </c>
      <c r="I412" s="1046"/>
    </row>
    <row r="413" spans="1:9" ht="13.5" thickTop="1">
      <c r="A413" s="1044"/>
      <c r="B413" s="1038"/>
      <c r="C413" s="1038"/>
      <c r="D413" s="1045"/>
      <c r="E413" s="1038"/>
      <c r="F413" s="1038"/>
      <c r="G413" s="1038"/>
      <c r="H413" s="1045"/>
      <c r="I413" s="1046"/>
    </row>
    <row r="414" spans="1:9">
      <c r="A414" s="1044"/>
      <c r="B414" s="1076" t="s">
        <v>3107</v>
      </c>
      <c r="C414" s="1038"/>
      <c r="D414" s="1045"/>
      <c r="E414" s="1038"/>
      <c r="F414" s="1038"/>
      <c r="G414" s="1038"/>
      <c r="H414" s="1045"/>
      <c r="I414" s="1046"/>
    </row>
    <row r="415" spans="1:9">
      <c r="A415" s="1044"/>
      <c r="B415" s="1075" t="s">
        <v>3104</v>
      </c>
      <c r="C415" s="1038"/>
      <c r="D415" s="1045"/>
      <c r="E415" s="1038"/>
      <c r="F415" s="1038"/>
      <c r="G415" s="1038"/>
      <c r="H415" s="1045"/>
      <c r="I415" s="1046"/>
    </row>
    <row r="416" spans="1:9">
      <c r="A416" s="1044"/>
      <c r="B416" s="1075" t="s">
        <v>3212</v>
      </c>
      <c r="C416" s="1038"/>
      <c r="D416" s="1045">
        <v>481048</v>
      </c>
      <c r="E416" s="1038"/>
      <c r="F416" s="1038"/>
      <c r="G416" s="1038"/>
      <c r="H416" s="1045">
        <v>407539</v>
      </c>
      <c r="I416" s="1046"/>
    </row>
    <row r="417" spans="1:9" ht="13.5" thickBot="1">
      <c r="A417" s="1044"/>
      <c r="B417" s="1076" t="s">
        <v>3105</v>
      </c>
      <c r="C417" s="1038"/>
      <c r="D417" s="1077">
        <f>SUM(D415:D416)</f>
        <v>481048</v>
      </c>
      <c r="E417" s="1038"/>
      <c r="F417" s="1038"/>
      <c r="G417" s="1038"/>
      <c r="H417" s="1077">
        <f>SUM(H415:H416)</f>
        <v>407539</v>
      </c>
      <c r="I417" s="1046"/>
    </row>
    <row r="418" spans="1:9" ht="13.5" thickTop="1">
      <c r="A418" s="1044"/>
      <c r="B418" s="1076"/>
      <c r="C418" s="1038"/>
      <c r="D418" s="1045"/>
      <c r="E418" s="1038"/>
      <c r="F418" s="1038"/>
      <c r="G418" s="1038"/>
      <c r="H418" s="1045"/>
      <c r="I418" s="1046"/>
    </row>
    <row r="419" spans="1:9">
      <c r="A419" s="1044"/>
      <c r="B419" s="1076" t="s">
        <v>3108</v>
      </c>
      <c r="C419" s="1038"/>
      <c r="D419" s="1045"/>
      <c r="E419" s="1038"/>
      <c r="F419" s="1038"/>
      <c r="G419" s="1038"/>
      <c r="H419" s="1045"/>
      <c r="I419" s="1046"/>
    </row>
    <row r="420" spans="1:9">
      <c r="A420" s="1044"/>
      <c r="B420" s="1075" t="s">
        <v>3104</v>
      </c>
      <c r="C420" s="1038"/>
      <c r="D420" s="1045"/>
      <c r="E420" s="1038"/>
      <c r="F420" s="1038"/>
      <c r="G420" s="1038"/>
      <c r="H420" s="1045"/>
      <c r="I420" s="1046"/>
    </row>
    <row r="421" spans="1:9">
      <c r="A421" s="1044"/>
      <c r="B421" s="1075" t="s">
        <v>3212</v>
      </c>
      <c r="C421" s="1038"/>
      <c r="D421" s="1045">
        <v>3225193</v>
      </c>
      <c r="E421" s="1038"/>
      <c r="F421" s="1038"/>
      <c r="G421" s="1038"/>
      <c r="H421" s="1045">
        <v>2629971</v>
      </c>
      <c r="I421" s="1046"/>
    </row>
    <row r="422" spans="1:9" ht="13.5" thickBot="1">
      <c r="A422" s="1044"/>
      <c r="B422" s="1076" t="s">
        <v>3105</v>
      </c>
      <c r="C422" s="1038"/>
      <c r="D422" s="1077">
        <f>SUM(D420:D421)</f>
        <v>3225193</v>
      </c>
      <c r="E422" s="1038"/>
      <c r="F422" s="1038"/>
      <c r="G422" s="1038"/>
      <c r="H422" s="1077">
        <f>SUM(H420:H421)</f>
        <v>2629971</v>
      </c>
      <c r="I422" s="1046"/>
    </row>
    <row r="423" spans="1:9" ht="13.5" thickTop="1">
      <c r="A423" s="1062"/>
      <c r="B423" s="1063"/>
      <c r="C423" s="1063"/>
      <c r="D423" s="1064"/>
      <c r="E423" s="1063"/>
      <c r="F423" s="1063"/>
      <c r="G423" s="1063"/>
      <c r="H423" s="1064"/>
      <c r="I423" s="1065"/>
    </row>
    <row r="424" spans="1:9">
      <c r="A424" s="1066"/>
      <c r="B424" s="1042"/>
      <c r="C424" s="1042"/>
      <c r="D424" s="1041"/>
      <c r="E424" s="1042"/>
      <c r="F424" s="1042"/>
      <c r="G424" s="1042"/>
      <c r="H424" s="1041"/>
      <c r="I424" s="1043"/>
    </row>
    <row r="425" spans="1:9">
      <c r="A425" s="1044"/>
      <c r="B425" s="1038"/>
      <c r="C425" s="1075"/>
      <c r="D425" s="1131"/>
      <c r="E425" s="1038"/>
      <c r="F425" s="1038"/>
      <c r="G425" s="1038"/>
      <c r="H425" s="1131"/>
      <c r="I425" s="1046"/>
    </row>
    <row r="426" spans="1:9">
      <c r="A426" s="1044"/>
      <c r="B426" s="1038"/>
      <c r="C426" s="1038"/>
      <c r="D426" s="1132"/>
      <c r="E426" s="1038"/>
      <c r="F426" s="1038"/>
      <c r="G426" s="1038"/>
      <c r="H426" s="1132"/>
      <c r="I426" s="1046"/>
    </row>
    <row r="427" spans="1:9">
      <c r="A427" s="1049"/>
      <c r="B427" s="1359" t="s">
        <v>1830</v>
      </c>
      <c r="C427" s="1360"/>
      <c r="D427" s="1360"/>
      <c r="E427" s="1360"/>
      <c r="F427" s="1360"/>
      <c r="G427" s="1360"/>
      <c r="H427" s="1361"/>
      <c r="I427" s="1080"/>
    </row>
    <row r="428" spans="1:9">
      <c r="A428" s="1049"/>
      <c r="B428" s="1362" t="s">
        <v>2827</v>
      </c>
      <c r="C428" s="1363"/>
      <c r="D428" s="1363"/>
      <c r="E428" s="1363"/>
      <c r="F428" s="1363"/>
      <c r="G428" s="1363"/>
      <c r="H428" s="1364"/>
      <c r="I428" s="1080"/>
    </row>
    <row r="429" spans="1:9">
      <c r="A429" s="1049"/>
      <c r="B429" s="1362" t="s">
        <v>2828</v>
      </c>
      <c r="C429" s="1363"/>
      <c r="D429" s="1363"/>
      <c r="E429" s="1363"/>
      <c r="F429" s="1363"/>
      <c r="G429" s="1363"/>
      <c r="H429" s="1364"/>
      <c r="I429" s="1080"/>
    </row>
    <row r="430" spans="1:9">
      <c r="A430" s="1049"/>
      <c r="B430" s="1365"/>
      <c r="C430" s="1366"/>
      <c r="D430" s="1366"/>
      <c r="E430" s="1366"/>
      <c r="F430" s="1366"/>
      <c r="G430" s="1366"/>
      <c r="H430" s="1367"/>
      <c r="I430" s="1080"/>
    </row>
    <row r="431" spans="1:9">
      <c r="A431" s="1049"/>
      <c r="B431" s="1365"/>
      <c r="C431" s="1366"/>
      <c r="D431" s="1366"/>
      <c r="E431" s="1366"/>
      <c r="F431" s="1366"/>
      <c r="G431" s="1366"/>
      <c r="H431" s="1367"/>
      <c r="I431" s="1080"/>
    </row>
    <row r="432" spans="1:9" ht="63" customHeight="1">
      <c r="A432" s="1049"/>
      <c r="B432" s="1356" t="s">
        <v>3669</v>
      </c>
      <c r="C432" s="1357"/>
      <c r="D432" s="1357"/>
      <c r="E432" s="1357"/>
      <c r="F432" s="1357"/>
      <c r="G432" s="1357"/>
      <c r="H432" s="1358"/>
      <c r="I432" s="1080"/>
    </row>
    <row r="433" spans="1:9">
      <c r="A433" s="1049"/>
      <c r="B433" s="1133"/>
      <c r="C433" s="1075"/>
      <c r="D433" s="1134"/>
      <c r="E433" s="1075"/>
      <c r="F433" s="1075"/>
      <c r="G433" s="1075"/>
      <c r="H433" s="1135"/>
      <c r="I433" s="1080"/>
    </row>
    <row r="434" spans="1:9">
      <c r="A434" s="1049"/>
      <c r="B434" s="1133"/>
      <c r="C434" s="1075"/>
      <c r="D434" s="1134"/>
      <c r="E434" s="1075"/>
      <c r="F434" s="1075"/>
      <c r="G434" s="1075"/>
      <c r="H434" s="1135"/>
      <c r="I434" s="1080"/>
    </row>
    <row r="435" spans="1:9">
      <c r="A435" s="1049"/>
      <c r="B435" s="1133"/>
      <c r="C435" s="1075"/>
      <c r="D435" s="1134"/>
      <c r="E435" s="1075"/>
      <c r="F435" s="1075"/>
      <c r="G435" s="1075"/>
      <c r="H435" s="1135"/>
      <c r="I435" s="1080"/>
    </row>
    <row r="436" spans="1:9">
      <c r="A436" s="1049"/>
      <c r="B436" s="1133"/>
      <c r="C436" s="1075"/>
      <c r="D436" s="1134"/>
      <c r="E436" s="1075"/>
      <c r="F436" s="1075"/>
      <c r="G436" s="1075"/>
      <c r="H436" s="1135"/>
      <c r="I436" s="1080"/>
    </row>
    <row r="437" spans="1:9">
      <c r="A437" s="1049"/>
      <c r="B437" s="1133"/>
      <c r="C437" s="1075"/>
      <c r="D437" s="1134"/>
      <c r="E437" s="1075"/>
      <c r="F437" s="1075"/>
      <c r="G437" s="1075"/>
      <c r="H437" s="1135"/>
      <c r="I437" s="1080"/>
    </row>
    <row r="438" spans="1:9">
      <c r="A438" s="1049"/>
      <c r="B438" s="1136" t="s">
        <v>2950</v>
      </c>
      <c r="C438" s="1075"/>
      <c r="D438" s="1134"/>
      <c r="E438" s="1075"/>
      <c r="F438" s="1075"/>
      <c r="G438" s="1075"/>
      <c r="H438" s="1135"/>
      <c r="I438" s="1080"/>
    </row>
    <row r="439" spans="1:9">
      <c r="A439" s="1049"/>
      <c r="B439" s="1136" t="s">
        <v>2829</v>
      </c>
      <c r="C439" s="1075"/>
      <c r="D439" s="1134"/>
      <c r="E439" s="1075"/>
      <c r="F439" s="1075"/>
      <c r="G439" s="1075"/>
      <c r="H439" s="1135"/>
      <c r="I439" s="1080"/>
    </row>
    <row r="440" spans="1:9">
      <c r="A440" s="1049"/>
      <c r="B440" s="1137"/>
      <c r="C440" s="1100"/>
      <c r="D440" s="1138"/>
      <c r="E440" s="1100"/>
      <c r="F440" s="1100"/>
      <c r="G440" s="1100"/>
      <c r="H440" s="1139"/>
      <c r="I440" s="1080"/>
    </row>
    <row r="441" spans="1:9">
      <c r="A441" s="1099"/>
      <c r="B441" s="1100"/>
      <c r="C441" s="1100"/>
      <c r="D441" s="1138"/>
      <c r="E441" s="1100"/>
      <c r="F441" s="1100"/>
      <c r="G441" s="1100"/>
      <c r="H441" s="1138"/>
      <c r="I441" s="1102"/>
    </row>
  </sheetData>
  <mergeCells count="12">
    <mergeCell ref="B432:H432"/>
    <mergeCell ref="B427:H427"/>
    <mergeCell ref="B428:H428"/>
    <mergeCell ref="B429:H429"/>
    <mergeCell ref="B430:H430"/>
    <mergeCell ref="B431:H431"/>
    <mergeCell ref="A1:I1"/>
    <mergeCell ref="A2:I2"/>
    <mergeCell ref="B126:C126"/>
    <mergeCell ref="B118:C118"/>
    <mergeCell ref="B103:C103"/>
    <mergeCell ref="B111:C111"/>
  </mergeCells>
  <phoneticPr fontId="0" type="noConversion"/>
  <printOptions horizontalCentered="1"/>
  <pageMargins left="0.6692913385826772" right="0.39370078740157483" top="0.98425196850393704" bottom="0.98425196850393704" header="0.51181102362204722" footer="0.51181102362204722"/>
  <pageSetup scale="83" orientation="portrait" r:id="rId1"/>
  <headerFooter>
    <oddHeader>&amp;C FINANCIAL STATEMENTS: MUSINA LOCAL MUNICIPALITY</oddHeader>
    <oddFooter>&amp;RPage &amp;P</oddFooter>
  </headerFooter>
  <rowBreaks count="11" manualBreakCount="11">
    <brk id="46" max="16383" man="1"/>
    <brk id="80" max="16383" man="1"/>
    <brk id="117" max="16383" man="1"/>
    <brk id="155" max="16383" man="1"/>
    <brk id="187" max="16383" man="1"/>
    <brk id="235" max="16383" man="1"/>
    <brk id="271" max="16383" man="1"/>
    <brk id="304" max="8" man="1"/>
    <brk id="352" max="16383" man="1"/>
    <brk id="377" max="16383" man="1"/>
    <brk id="423" max="16383" man="1"/>
  </rowBreaks>
  <legacyDrawing r:id="rId2"/>
</worksheet>
</file>

<file path=xl/worksheets/sheet16.xml><?xml version="1.0" encoding="utf-8"?>
<worksheet xmlns="http://schemas.openxmlformats.org/spreadsheetml/2006/main" xmlns:r="http://schemas.openxmlformats.org/officeDocument/2006/relationships">
  <dimension ref="A1:M50"/>
  <sheetViews>
    <sheetView view="pageBreakPreview" zoomScaleSheetLayoutView="100" workbookViewId="0">
      <selection activeCell="A14" sqref="A14"/>
    </sheetView>
  </sheetViews>
  <sheetFormatPr defaultRowHeight="12.75"/>
  <cols>
    <col min="1" max="1" width="9.140625" style="461" customWidth="1"/>
    <col min="2" max="2" width="23.85546875" style="442" customWidth="1"/>
    <col min="3" max="3" width="10.5703125" style="434" bestFit="1" customWidth="1"/>
    <col min="4" max="4" width="11.7109375" style="434" bestFit="1" customWidth="1"/>
    <col min="5" max="5" width="11.28515625" style="434" customWidth="1"/>
    <col min="6" max="6" width="10" style="434" bestFit="1" customWidth="1"/>
    <col min="7" max="7" width="9.140625" style="431" bestFit="1" customWidth="1"/>
    <col min="8" max="8" width="11" style="431" bestFit="1" customWidth="1"/>
    <col min="9" max="9" width="1.140625" style="431" customWidth="1"/>
    <col min="10" max="10" width="9.140625" style="431" customWidth="1"/>
    <col min="11" max="11" width="10.28515625" style="431" bestFit="1" customWidth="1"/>
    <col min="12" max="16384" width="9.140625" style="431"/>
  </cols>
  <sheetData>
    <row r="1" spans="1:9">
      <c r="A1" s="1376" t="s">
        <v>3477</v>
      </c>
      <c r="B1" s="1377"/>
      <c r="C1" s="1377"/>
      <c r="D1" s="1377"/>
      <c r="E1" s="1377"/>
      <c r="F1" s="1377"/>
      <c r="G1" s="1377"/>
      <c r="H1" s="1377"/>
      <c r="I1" s="1378"/>
    </row>
    <row r="2" spans="1:9">
      <c r="A2" s="1379" t="s">
        <v>3100</v>
      </c>
      <c r="B2" s="1380"/>
      <c r="C2" s="1380"/>
      <c r="D2" s="1380"/>
      <c r="E2" s="1380"/>
      <c r="F2" s="1380"/>
      <c r="G2" s="1380"/>
      <c r="H2" s="1380"/>
      <c r="I2" s="1381"/>
    </row>
    <row r="3" spans="1:9">
      <c r="A3" s="435"/>
      <c r="I3" s="143"/>
    </row>
    <row r="4" spans="1:9">
      <c r="A4" s="435"/>
      <c r="I4" s="143"/>
    </row>
    <row r="5" spans="1:9" ht="25.5">
      <c r="A5" s="432" t="s">
        <v>517</v>
      </c>
      <c r="B5" s="433" t="s">
        <v>3110</v>
      </c>
      <c r="I5" s="143"/>
    </row>
    <row r="6" spans="1:9">
      <c r="A6" s="435"/>
      <c r="B6" s="436" t="s">
        <v>3111</v>
      </c>
      <c r="I6" s="143"/>
    </row>
    <row r="7" spans="1:9" ht="63.75">
      <c r="A7" s="435"/>
      <c r="B7" s="437" t="s">
        <v>3112</v>
      </c>
      <c r="C7" s="438" t="s">
        <v>3079</v>
      </c>
      <c r="D7" s="438" t="s">
        <v>3115</v>
      </c>
      <c r="E7" s="438" t="s">
        <v>3114</v>
      </c>
      <c r="F7" s="439" t="s">
        <v>3080</v>
      </c>
      <c r="I7" s="143"/>
    </row>
    <row r="8" spans="1:9" ht="22.5">
      <c r="A8" s="435"/>
      <c r="B8" s="424" t="s">
        <v>939</v>
      </c>
      <c r="C8" s="425"/>
      <c r="D8" s="425"/>
      <c r="E8" s="425"/>
      <c r="F8" s="425">
        <v>2907</v>
      </c>
      <c r="I8" s="143"/>
    </row>
    <row r="9" spans="1:9">
      <c r="A9" s="435"/>
      <c r="B9" s="424"/>
      <c r="C9" s="425"/>
      <c r="D9" s="425"/>
      <c r="E9" s="425"/>
      <c r="F9" s="425"/>
      <c r="I9" s="143"/>
    </row>
    <row r="10" spans="1:9">
      <c r="A10" s="435"/>
      <c r="B10" s="440" t="s">
        <v>2384</v>
      </c>
      <c r="C10" s="441">
        <f>SUM(C8:C9)</f>
        <v>0</v>
      </c>
      <c r="D10" s="441">
        <f>SUM(D8:D9)</f>
        <v>0</v>
      </c>
      <c r="E10" s="441">
        <f>SUM(E8:E9)</f>
        <v>0</v>
      </c>
      <c r="F10" s="441">
        <f>SUM(F8:F9)</f>
        <v>2907</v>
      </c>
      <c r="I10" s="143"/>
    </row>
    <row r="11" spans="1:9">
      <c r="A11" s="435"/>
      <c r="B11" s="433"/>
      <c r="I11" s="143"/>
    </row>
    <row r="12" spans="1:9" ht="63.75">
      <c r="A12" s="435"/>
      <c r="B12" s="437" t="s">
        <v>3113</v>
      </c>
      <c r="C12" s="426"/>
      <c r="D12" s="438" t="s">
        <v>3116</v>
      </c>
      <c r="E12" s="438" t="s">
        <v>3117</v>
      </c>
      <c r="F12" s="438" t="s">
        <v>3082</v>
      </c>
      <c r="I12" s="143"/>
    </row>
    <row r="13" spans="1:9">
      <c r="A13" s="435"/>
      <c r="B13" s="424"/>
      <c r="C13" s="425"/>
      <c r="D13" s="425"/>
      <c r="E13" s="425" t="s">
        <v>3081</v>
      </c>
      <c r="F13" s="425"/>
      <c r="I13" s="143"/>
    </row>
    <row r="14" spans="1:9">
      <c r="A14" s="435"/>
      <c r="B14" s="424"/>
      <c r="C14" s="425"/>
      <c r="D14" s="425"/>
      <c r="E14" s="425" t="s">
        <v>3081</v>
      </c>
      <c r="F14" s="425"/>
      <c r="I14" s="143"/>
    </row>
    <row r="15" spans="1:9">
      <c r="A15" s="435"/>
      <c r="I15" s="143"/>
    </row>
    <row r="16" spans="1:9" s="437" customFormat="1" ht="168.75" customHeight="1">
      <c r="A16" s="443"/>
      <c r="B16" s="437" t="s">
        <v>3118</v>
      </c>
      <c r="I16" s="444"/>
    </row>
    <row r="17" spans="1:13">
      <c r="A17" s="435"/>
      <c r="I17" s="143"/>
    </row>
    <row r="18" spans="1:13">
      <c r="A18" s="445"/>
      <c r="B18" s="413" t="s">
        <v>3119</v>
      </c>
      <c r="I18" s="143"/>
    </row>
    <row r="19" spans="1:13" ht="25.5">
      <c r="A19" s="435"/>
      <c r="B19" s="446" t="s">
        <v>3120</v>
      </c>
      <c r="I19" s="143"/>
    </row>
    <row r="20" spans="1:13">
      <c r="A20" s="435"/>
      <c r="B20" s="447" t="s">
        <v>3121</v>
      </c>
      <c r="I20" s="143"/>
    </row>
    <row r="21" spans="1:13" ht="23.25" thickBot="1">
      <c r="A21" s="435"/>
      <c r="B21" s="427"/>
      <c r="C21" s="448" t="s">
        <v>3126</v>
      </c>
      <c r="D21" s="448" t="s">
        <v>3127</v>
      </c>
      <c r="E21" s="448" t="s">
        <v>3083</v>
      </c>
      <c r="F21" s="448" t="s">
        <v>3129</v>
      </c>
      <c r="G21" s="448" t="s">
        <v>3127</v>
      </c>
      <c r="H21" s="448" t="s">
        <v>3128</v>
      </c>
      <c r="I21" s="143"/>
    </row>
    <row r="22" spans="1:13">
      <c r="A22" s="435"/>
      <c r="B22" s="428" t="s">
        <v>3122</v>
      </c>
      <c r="C22" s="425"/>
      <c r="D22" s="425"/>
      <c r="E22" s="425">
        <f>SUM(C22:D22)</f>
        <v>0</v>
      </c>
      <c r="F22" s="425"/>
      <c r="G22" s="425"/>
      <c r="H22" s="425">
        <f>SUM(F22:G22)</f>
        <v>0</v>
      </c>
      <c r="I22" s="143"/>
    </row>
    <row r="23" spans="1:13" ht="22.5">
      <c r="A23" s="435"/>
      <c r="B23" s="428" t="s">
        <v>3123</v>
      </c>
      <c r="C23" s="425"/>
      <c r="D23" s="425">
        <v>1369</v>
      </c>
      <c r="E23" s="425">
        <f>SUM(C23:D23)</f>
        <v>1369</v>
      </c>
      <c r="F23" s="425">
        <v>2197</v>
      </c>
      <c r="G23" s="425">
        <v>2335</v>
      </c>
      <c r="H23" s="425">
        <f>SUM(F23:G23)</f>
        <v>4532</v>
      </c>
      <c r="I23" s="143"/>
    </row>
    <row r="24" spans="1:13" ht="22.5">
      <c r="A24" s="435"/>
      <c r="B24" s="428" t="s">
        <v>3124</v>
      </c>
      <c r="C24" s="425">
        <v>339766</v>
      </c>
      <c r="D24" s="425"/>
      <c r="E24" s="425">
        <f>SUM(C24:D24)</f>
        <v>339766</v>
      </c>
      <c r="F24" s="425"/>
      <c r="G24" s="425">
        <v>53955</v>
      </c>
      <c r="H24" s="425">
        <f>SUM(F24:G24)</f>
        <v>53955</v>
      </c>
      <c r="I24" s="143"/>
    </row>
    <row r="25" spans="1:13">
      <c r="A25" s="435"/>
      <c r="B25" s="428" t="s">
        <v>601</v>
      </c>
      <c r="C25" s="425">
        <v>618796</v>
      </c>
      <c r="D25" s="425"/>
      <c r="E25" s="425">
        <f>SUM(C25:D25)</f>
        <v>618796</v>
      </c>
      <c r="F25" s="425">
        <v>283303</v>
      </c>
      <c r="G25" s="425"/>
      <c r="H25" s="425">
        <f>SUM(F25:G25)</f>
        <v>283303</v>
      </c>
      <c r="I25" s="143"/>
    </row>
    <row r="26" spans="1:13" ht="13.5" thickBot="1">
      <c r="A26" s="435"/>
      <c r="B26" s="449" t="s">
        <v>2384</v>
      </c>
      <c r="C26" s="450">
        <f t="shared" ref="C26:H26" si="0">SUM(C22:C25)</f>
        <v>958562</v>
      </c>
      <c r="D26" s="450">
        <f t="shared" si="0"/>
        <v>1369</v>
      </c>
      <c r="E26" s="450">
        <f t="shared" si="0"/>
        <v>959931</v>
      </c>
      <c r="F26" s="450">
        <f t="shared" si="0"/>
        <v>285500</v>
      </c>
      <c r="G26" s="450">
        <f t="shared" si="0"/>
        <v>56290</v>
      </c>
      <c r="H26" s="450">
        <f t="shared" si="0"/>
        <v>341790</v>
      </c>
      <c r="I26" s="143"/>
    </row>
    <row r="27" spans="1:13" ht="13.5" thickTop="1">
      <c r="A27" s="435"/>
      <c r="I27" s="143"/>
    </row>
    <row r="28" spans="1:13" s="437" customFormat="1" ht="76.5">
      <c r="A28" s="443"/>
      <c r="B28" s="437" t="s">
        <v>3125</v>
      </c>
      <c r="I28" s="444"/>
    </row>
    <row r="29" spans="1:13">
      <c r="A29" s="451"/>
      <c r="B29" s="452"/>
      <c r="C29" s="453"/>
      <c r="D29" s="453"/>
      <c r="E29" s="453"/>
      <c r="F29" s="453"/>
      <c r="G29" s="454"/>
      <c r="H29" s="454"/>
      <c r="I29" s="455"/>
    </row>
    <row r="30" spans="1:13" s="134" customFormat="1">
      <c r="A30" s="456"/>
      <c r="B30" s="457"/>
      <c r="C30" s="458"/>
      <c r="D30" s="458"/>
      <c r="E30" s="458"/>
      <c r="F30" s="458"/>
      <c r="G30" s="459"/>
      <c r="H30" s="459"/>
      <c r="I30" s="460"/>
    </row>
    <row r="31" spans="1:13">
      <c r="A31" s="412" t="s">
        <v>518</v>
      </c>
      <c r="B31" s="410" t="s">
        <v>1809</v>
      </c>
      <c r="C31" s="334"/>
      <c r="D31" s="415"/>
      <c r="E31" s="333"/>
      <c r="F31" s="333"/>
      <c r="G31" s="333"/>
      <c r="H31" s="415"/>
      <c r="I31" s="204"/>
      <c r="J31" s="205"/>
      <c r="K31" s="414"/>
      <c r="L31" s="414"/>
      <c r="M31" s="414"/>
    </row>
    <row r="32" spans="1:13">
      <c r="A32" s="206"/>
      <c r="B32" s="333"/>
      <c r="C32" s="333"/>
      <c r="D32" s="416"/>
      <c r="E32" s="333"/>
      <c r="F32" s="333"/>
      <c r="G32" s="333"/>
      <c r="H32" s="416"/>
      <c r="I32" s="204"/>
      <c r="J32" s="205"/>
      <c r="K32" s="414"/>
      <c r="L32" s="414"/>
      <c r="M32" s="414"/>
    </row>
    <row r="33" spans="1:13">
      <c r="A33" s="411"/>
      <c r="B33" s="1382" t="s">
        <v>2333</v>
      </c>
      <c r="C33" s="1383"/>
      <c r="D33" s="1383"/>
      <c r="E33" s="1383"/>
      <c r="F33" s="1383"/>
      <c r="G33" s="1383"/>
      <c r="H33" s="1384"/>
      <c r="I33" s="408"/>
      <c r="J33" s="409"/>
      <c r="K33" s="429"/>
      <c r="L33" s="429"/>
      <c r="M33" s="429"/>
    </row>
    <row r="34" spans="1:13">
      <c r="A34" s="411"/>
      <c r="B34" s="1385" t="s">
        <v>2334</v>
      </c>
      <c r="C34" s="1386"/>
      <c r="D34" s="1386"/>
      <c r="E34" s="1386"/>
      <c r="F34" s="1386"/>
      <c r="G34" s="1386"/>
      <c r="H34" s="1387"/>
      <c r="I34" s="408"/>
      <c r="J34" s="409"/>
      <c r="K34" s="429"/>
      <c r="L34" s="429"/>
      <c r="M34" s="429"/>
    </row>
    <row r="35" spans="1:13">
      <c r="A35" s="411"/>
      <c r="B35" s="1385"/>
      <c r="C35" s="1386"/>
      <c r="D35" s="1386"/>
      <c r="E35" s="1386"/>
      <c r="F35" s="1386"/>
      <c r="G35" s="1386"/>
      <c r="H35" s="1387"/>
      <c r="I35" s="408"/>
      <c r="J35" s="409"/>
      <c r="K35" s="429"/>
      <c r="L35" s="429"/>
      <c r="M35" s="429"/>
    </row>
    <row r="36" spans="1:13">
      <c r="A36" s="411"/>
      <c r="B36" s="1368"/>
      <c r="C36" s="1369"/>
      <c r="D36" s="1369"/>
      <c r="E36" s="1369"/>
      <c r="F36" s="1369"/>
      <c r="G36" s="1369"/>
      <c r="H36" s="1370"/>
      <c r="I36" s="408"/>
      <c r="J36" s="409"/>
      <c r="K36" s="429"/>
      <c r="L36" s="429"/>
      <c r="M36" s="429"/>
    </row>
    <row r="37" spans="1:13">
      <c r="A37" s="411"/>
      <c r="B37" s="1368"/>
      <c r="C37" s="1369"/>
      <c r="D37" s="1369"/>
      <c r="E37" s="1369"/>
      <c r="F37" s="1369"/>
      <c r="G37" s="1369"/>
      <c r="H37" s="1370"/>
      <c r="I37" s="408"/>
      <c r="J37" s="409"/>
      <c r="K37" s="429"/>
      <c r="L37" s="429"/>
      <c r="M37" s="429"/>
    </row>
    <row r="38" spans="1:13">
      <c r="A38" s="411"/>
      <c r="B38" s="1373" t="s">
        <v>3427</v>
      </c>
      <c r="C38" s="1374"/>
      <c r="D38" s="1374"/>
      <c r="E38" s="1374"/>
      <c r="F38" s="1374"/>
      <c r="G38" s="1374"/>
      <c r="H38" s="1375"/>
      <c r="I38" s="408"/>
      <c r="J38" s="409"/>
      <c r="K38" s="429"/>
      <c r="L38" s="429"/>
      <c r="M38" s="429"/>
    </row>
    <row r="39" spans="1:13">
      <c r="A39" s="411"/>
      <c r="B39" s="349" t="s">
        <v>3429</v>
      </c>
      <c r="C39" s="407"/>
      <c r="D39" s="407"/>
      <c r="E39" s="407"/>
      <c r="F39" s="407"/>
      <c r="G39" s="407"/>
      <c r="H39" s="406"/>
      <c r="I39" s="408"/>
      <c r="J39" s="409"/>
      <c r="K39" s="429"/>
      <c r="L39" s="429"/>
      <c r="M39" s="429"/>
    </row>
    <row r="40" spans="1:13" ht="46.5" customHeight="1">
      <c r="A40" s="411"/>
      <c r="B40" s="1373" t="s">
        <v>3430</v>
      </c>
      <c r="C40" s="1374"/>
      <c r="D40" s="1374"/>
      <c r="E40" s="1374"/>
      <c r="F40" s="1374"/>
      <c r="G40" s="1374"/>
      <c r="H40" s="1375"/>
      <c r="I40" s="408"/>
      <c r="J40" s="409"/>
      <c r="K40" s="429"/>
      <c r="L40" s="429"/>
      <c r="M40" s="429"/>
    </row>
    <row r="41" spans="1:13">
      <c r="A41" s="411"/>
      <c r="B41" s="350"/>
      <c r="C41" s="334"/>
      <c r="D41" s="417"/>
      <c r="E41" s="334"/>
      <c r="F41" s="334"/>
      <c r="G41" s="334"/>
      <c r="H41" s="418"/>
      <c r="I41" s="408"/>
      <c r="J41" s="409"/>
      <c r="K41" s="429"/>
      <c r="L41" s="429"/>
      <c r="M41" s="429"/>
    </row>
    <row r="42" spans="1:13">
      <c r="A42" s="411"/>
      <c r="B42" s="350"/>
      <c r="C42" s="334"/>
      <c r="D42" s="417"/>
      <c r="E42" s="334"/>
      <c r="F42" s="334"/>
      <c r="G42" s="334"/>
      <c r="H42" s="418"/>
      <c r="I42" s="408"/>
      <c r="J42" s="409"/>
      <c r="K42" s="429"/>
      <c r="L42" s="429"/>
      <c r="M42" s="429"/>
    </row>
    <row r="43" spans="1:13">
      <c r="A43" s="411"/>
      <c r="B43" s="350"/>
      <c r="C43" s="334"/>
      <c r="D43" s="417"/>
      <c r="E43" s="334"/>
      <c r="F43" s="334"/>
      <c r="G43" s="334"/>
      <c r="H43" s="418"/>
      <c r="I43" s="408"/>
      <c r="J43" s="409"/>
      <c r="K43" s="429"/>
      <c r="L43" s="429"/>
      <c r="M43" s="429"/>
    </row>
    <row r="44" spans="1:13">
      <c r="A44" s="411"/>
      <c r="B44" s="350"/>
      <c r="C44" s="334"/>
      <c r="D44" s="417"/>
      <c r="E44" s="334"/>
      <c r="F44" s="334"/>
      <c r="G44" s="334"/>
      <c r="H44" s="418"/>
      <c r="I44" s="408"/>
      <c r="J44" s="409"/>
      <c r="K44" s="429"/>
      <c r="L44" s="429"/>
      <c r="M44" s="429"/>
    </row>
    <row r="45" spans="1:13">
      <c r="A45" s="411"/>
      <c r="B45" s="350"/>
      <c r="C45" s="334"/>
      <c r="D45" s="417"/>
      <c r="E45" s="334"/>
      <c r="F45" s="334"/>
      <c r="G45" s="334"/>
      <c r="H45" s="418"/>
      <c r="I45" s="408"/>
      <c r="J45" s="409"/>
      <c r="K45" s="429"/>
      <c r="L45" s="429"/>
      <c r="M45" s="429"/>
    </row>
    <row r="46" spans="1:13">
      <c r="A46" s="411"/>
      <c r="B46" s="430"/>
      <c r="C46" s="334"/>
      <c r="D46" s="417"/>
      <c r="E46" s="419"/>
      <c r="F46" s="419"/>
      <c r="G46" s="334"/>
      <c r="H46" s="418"/>
      <c r="I46" s="408"/>
      <c r="J46" s="409"/>
      <c r="K46" s="429"/>
      <c r="L46" s="429"/>
      <c r="M46" s="429"/>
    </row>
    <row r="47" spans="1:13">
      <c r="A47" s="411"/>
      <c r="B47" s="368" t="s">
        <v>2950</v>
      </c>
      <c r="C47" s="334"/>
      <c r="D47" s="417"/>
      <c r="E47" s="202" t="s">
        <v>3428</v>
      </c>
      <c r="F47" s="334"/>
      <c r="G47" s="334"/>
      <c r="H47" s="418"/>
      <c r="I47" s="408"/>
      <c r="J47" s="409"/>
      <c r="K47" s="429"/>
      <c r="L47" s="429"/>
      <c r="M47" s="429"/>
    </row>
    <row r="48" spans="1:13">
      <c r="A48" s="411"/>
      <c r="B48" s="1371" t="s">
        <v>2829</v>
      </c>
      <c r="C48" s="1372"/>
      <c r="D48" s="417"/>
      <c r="E48" s="431"/>
      <c r="F48" s="334"/>
      <c r="G48" s="334"/>
      <c r="H48" s="418"/>
      <c r="I48" s="408"/>
      <c r="J48" s="409"/>
      <c r="K48" s="429"/>
      <c r="L48" s="429"/>
      <c r="M48" s="429"/>
    </row>
    <row r="49" spans="1:13">
      <c r="A49" s="411"/>
      <c r="B49" s="371"/>
      <c r="C49" s="419"/>
      <c r="D49" s="420"/>
      <c r="E49" s="419"/>
      <c r="F49" s="419"/>
      <c r="G49" s="419"/>
      <c r="H49" s="421"/>
      <c r="I49" s="408"/>
      <c r="J49" s="409"/>
      <c r="K49" s="429"/>
      <c r="L49" s="429"/>
      <c r="M49" s="429"/>
    </row>
    <row r="50" spans="1:13">
      <c r="A50" s="422"/>
      <c r="B50" s="419"/>
      <c r="C50" s="419"/>
      <c r="D50" s="420"/>
      <c r="E50" s="419"/>
      <c r="F50" s="419"/>
      <c r="G50" s="419"/>
      <c r="H50" s="420"/>
      <c r="I50" s="423"/>
      <c r="J50" s="409"/>
      <c r="K50" s="429"/>
      <c r="L50" s="429"/>
      <c r="M50" s="429"/>
    </row>
  </sheetData>
  <mergeCells count="10">
    <mergeCell ref="A1:I1"/>
    <mergeCell ref="A2:I2"/>
    <mergeCell ref="B33:H33"/>
    <mergeCell ref="B34:H34"/>
    <mergeCell ref="B35:H35"/>
    <mergeCell ref="B36:H36"/>
    <mergeCell ref="B48:C48"/>
    <mergeCell ref="B37:H37"/>
    <mergeCell ref="B40:H40"/>
    <mergeCell ref="B38:H38"/>
  </mergeCells>
  <phoneticPr fontId="0" type="noConversion"/>
  <printOptions horizontalCentered="1"/>
  <pageMargins left="0.6692913385826772" right="0.39370078740157483" top="0.98425196850393704" bottom="0.98425196850393704" header="0.51181102362204722" footer="0.51181102362204722"/>
  <pageSetup scale="85" orientation="portrait" r:id="rId1"/>
  <headerFooter>
    <oddHeader>&amp;C FINANCIAL STATEMENTS: MUSINA LOCAL MUNICIPALITY</oddHeader>
    <oddFooter>&amp;RPage &amp;P</oddFooter>
  </headerFooter>
  <rowBreaks count="1" manualBreakCount="1">
    <brk id="29" max="16383" man="1"/>
  </rowBreaks>
</worksheet>
</file>

<file path=xl/worksheets/sheet17.xml><?xml version="1.0" encoding="utf-8"?>
<worksheet xmlns="http://schemas.openxmlformats.org/spreadsheetml/2006/main" xmlns:r="http://schemas.openxmlformats.org/officeDocument/2006/relationships">
  <dimension ref="A1:M14"/>
  <sheetViews>
    <sheetView view="pageBreakPreview" zoomScaleSheetLayoutView="100" workbookViewId="0">
      <selection activeCell="A14" sqref="A14"/>
    </sheetView>
  </sheetViews>
  <sheetFormatPr defaultRowHeight="12.75"/>
  <cols>
    <col min="1" max="1" width="9.140625" style="11" customWidth="1"/>
    <col min="2" max="2" width="40.42578125" style="12" customWidth="1"/>
    <col min="3" max="3" width="2.28515625" style="12" customWidth="1"/>
    <col min="4" max="4" width="15.42578125" style="13" bestFit="1" customWidth="1"/>
    <col min="5" max="7" width="2.28515625" style="12" customWidth="1"/>
    <col min="8" max="8" width="15" style="13" bestFit="1" customWidth="1"/>
    <col min="9" max="9" width="2.28515625" style="12" customWidth="1"/>
    <col min="10" max="10" width="9.140625" style="12" customWidth="1"/>
    <col min="11" max="11" width="15" style="13" bestFit="1" customWidth="1"/>
    <col min="12" max="12" width="9.140625" style="13" customWidth="1"/>
    <col min="13" max="13" width="14.5703125" style="13" bestFit="1" customWidth="1"/>
    <col min="14" max="16384" width="9.140625" style="12"/>
  </cols>
  <sheetData>
    <row r="1" spans="1:13">
      <c r="A1" s="1388" t="s">
        <v>3477</v>
      </c>
      <c r="B1" s="1389"/>
      <c r="C1" s="1389"/>
      <c r="D1" s="1389"/>
      <c r="E1" s="1389"/>
      <c r="F1" s="1389"/>
      <c r="G1" s="1389"/>
      <c r="H1" s="1389"/>
      <c r="I1" s="1390"/>
    </row>
    <row r="2" spans="1:13">
      <c r="A2" s="1391" t="s">
        <v>3100</v>
      </c>
      <c r="B2" s="1391"/>
      <c r="C2" s="1391"/>
      <c r="D2" s="1391"/>
      <c r="E2" s="1391"/>
      <c r="F2" s="1391"/>
      <c r="G2" s="1391"/>
      <c r="H2" s="1391"/>
      <c r="I2" s="1391"/>
    </row>
    <row r="3" spans="1:13">
      <c r="A3" s="28"/>
      <c r="B3" s="1"/>
      <c r="C3" s="1"/>
      <c r="D3" s="3"/>
      <c r="E3" s="1"/>
      <c r="F3" s="1"/>
      <c r="G3" s="1"/>
      <c r="H3" s="3"/>
      <c r="I3" s="1"/>
    </row>
    <row r="4" spans="1:13">
      <c r="A4" s="139"/>
      <c r="B4" s="1"/>
      <c r="C4" s="1"/>
      <c r="D4" s="3"/>
      <c r="E4" s="1"/>
      <c r="F4" s="1"/>
      <c r="G4" s="1"/>
      <c r="H4" s="3"/>
      <c r="I4" s="15"/>
    </row>
    <row r="5" spans="1:13" s="11" customFormat="1">
      <c r="A5" s="139"/>
      <c r="B5" s="28"/>
      <c r="C5" s="28"/>
      <c r="D5" s="386" t="s">
        <v>3558</v>
      </c>
      <c r="E5" s="28"/>
      <c r="F5" s="28"/>
      <c r="G5" s="28"/>
      <c r="H5" s="386" t="s">
        <v>3557</v>
      </c>
      <c r="I5" s="140"/>
      <c r="K5" s="10"/>
      <c r="L5" s="10"/>
      <c r="M5" s="10"/>
    </row>
    <row r="6" spans="1:13" s="11" customFormat="1">
      <c r="A6" s="139"/>
      <c r="B6" s="28"/>
      <c r="C6" s="28"/>
      <c r="D6" s="4" t="s">
        <v>3386</v>
      </c>
      <c r="E6" s="28"/>
      <c r="F6" s="28"/>
      <c r="G6" s="28"/>
      <c r="H6" s="4" t="s">
        <v>3386</v>
      </c>
      <c r="I6" s="140"/>
      <c r="K6" s="10"/>
      <c r="L6" s="10"/>
      <c r="M6" s="10"/>
    </row>
    <row r="7" spans="1:13" ht="15">
      <c r="A7" s="145" t="s">
        <v>519</v>
      </c>
      <c r="B7" s="128" t="s">
        <v>3130</v>
      </c>
      <c r="C7" s="1"/>
      <c r="D7" s="3"/>
      <c r="E7" s="1"/>
      <c r="F7" s="1"/>
      <c r="G7" s="1"/>
      <c r="H7" s="3"/>
      <c r="I7" s="15"/>
    </row>
    <row r="8" spans="1:13" ht="14.25">
      <c r="A8" s="139"/>
      <c r="B8" s="127" t="s">
        <v>3131</v>
      </c>
      <c r="C8" s="1"/>
      <c r="D8" s="3">
        <v>0</v>
      </c>
      <c r="E8" s="1"/>
      <c r="F8" s="1"/>
      <c r="G8" s="1"/>
      <c r="H8" s="3"/>
      <c r="I8" s="15"/>
    </row>
    <row r="9" spans="1:13" ht="14.25">
      <c r="A9" s="139"/>
      <c r="B9" s="127" t="s">
        <v>3132</v>
      </c>
      <c r="C9" s="1"/>
      <c r="D9" s="3">
        <v>0</v>
      </c>
      <c r="E9" s="1"/>
      <c r="F9" s="1"/>
      <c r="G9" s="1"/>
      <c r="H9" s="3"/>
      <c r="I9" s="15"/>
    </row>
    <row r="10" spans="1:13" ht="14.25">
      <c r="A10" s="139"/>
      <c r="B10" s="127" t="s">
        <v>3133</v>
      </c>
      <c r="C10" s="1"/>
      <c r="D10" s="3">
        <v>0</v>
      </c>
      <c r="E10" s="1"/>
      <c r="F10" s="1"/>
      <c r="G10" s="1"/>
      <c r="H10" s="3"/>
      <c r="I10" s="15"/>
    </row>
    <row r="11" spans="1:13" ht="15.75" thickBot="1">
      <c r="A11" s="139"/>
      <c r="B11" s="128" t="s">
        <v>2384</v>
      </c>
      <c r="C11" s="1"/>
      <c r="D11" s="19">
        <f>SUM(D8:D10)</f>
        <v>0</v>
      </c>
      <c r="E11" s="1"/>
      <c r="F11" s="1"/>
      <c r="G11" s="1"/>
      <c r="H11" s="19">
        <f>SUM(H8:H10)</f>
        <v>0</v>
      </c>
      <c r="I11" s="15"/>
    </row>
    <row r="12" spans="1:13" ht="13.5" thickTop="1">
      <c r="A12" s="139"/>
      <c r="B12" s="1"/>
      <c r="C12" s="1"/>
      <c r="D12" s="3"/>
      <c r="E12" s="1"/>
      <c r="F12" s="1"/>
      <c r="G12" s="1"/>
      <c r="H12" s="3"/>
      <c r="I12" s="15"/>
    </row>
    <row r="13" spans="1:13" s="216" customFormat="1" ht="145.5" customHeight="1">
      <c r="A13" s="215"/>
      <c r="B13" s="201" t="s">
        <v>1068</v>
      </c>
      <c r="C13" s="219"/>
      <c r="D13" s="219"/>
      <c r="E13" s="219"/>
      <c r="F13" s="219"/>
      <c r="G13" s="219"/>
      <c r="H13" s="219"/>
      <c r="I13" s="212"/>
      <c r="K13" s="217"/>
      <c r="L13" s="217"/>
      <c r="M13" s="217"/>
    </row>
    <row r="14" spans="1:13">
      <c r="A14" s="21"/>
      <c r="B14" s="141"/>
      <c r="C14" s="141"/>
      <c r="D14" s="16"/>
      <c r="E14" s="141"/>
      <c r="F14" s="141"/>
      <c r="G14" s="141"/>
      <c r="H14" s="16"/>
      <c r="I14" s="17"/>
    </row>
  </sheetData>
  <mergeCells count="2">
    <mergeCell ref="A1:I1"/>
    <mergeCell ref="A2:I2"/>
  </mergeCells>
  <phoneticPr fontId="0" type="noConversion"/>
  <printOptions horizontalCentered="1"/>
  <pageMargins left="0.6692913385826772" right="0.39370078740157483" top="0.98425196850393704" bottom="0.98425196850393704" header="0.51181102362204722" footer="0.51181102362204722"/>
  <pageSetup scale="89" orientation="portrait" r:id="rId1"/>
  <headerFooter>
    <oddHeader>&amp;C FINANCIAL STATEMENTS: MUSINA LOCAL MUNICIPALITY</oddHeader>
    <oddFooter>&amp;RPage &amp;P</oddFooter>
  </headerFooter>
</worksheet>
</file>

<file path=xl/worksheets/sheet18.xml><?xml version="1.0" encoding="utf-8"?>
<worksheet xmlns="http://schemas.openxmlformats.org/spreadsheetml/2006/main" xmlns:r="http://schemas.openxmlformats.org/officeDocument/2006/relationships">
  <dimension ref="A1:J81"/>
  <sheetViews>
    <sheetView view="pageBreakPreview" topLeftCell="A43" zoomScaleSheetLayoutView="100" workbookViewId="0">
      <selection activeCell="A14" sqref="A14"/>
    </sheetView>
  </sheetViews>
  <sheetFormatPr defaultRowHeight="12.75"/>
  <cols>
    <col min="1" max="1" width="6.85546875" style="1254" customWidth="1"/>
    <col min="2" max="2" width="9" style="1304" bestFit="1" customWidth="1"/>
    <col min="3" max="3" width="39.28515625" style="1305" customWidth="1"/>
    <col min="4" max="4" width="12.7109375" style="1254" bestFit="1" customWidth="1"/>
    <col min="5" max="5" width="3.42578125" style="1254" customWidth="1"/>
    <col min="6" max="6" width="16.42578125" style="1035" bestFit="1" customWidth="1"/>
    <col min="7" max="7" width="2.28515625" style="1254" customWidth="1"/>
    <col min="8" max="8" width="14.5703125" style="1229" bestFit="1" customWidth="1"/>
    <col min="9" max="9" width="9.140625" style="1254"/>
    <col min="10" max="10" width="15" style="1254" bestFit="1" customWidth="1"/>
    <col min="11" max="16384" width="9.140625" style="1254"/>
  </cols>
  <sheetData>
    <row r="1" spans="1:10">
      <c r="A1" s="1392" t="s">
        <v>3477</v>
      </c>
      <c r="B1" s="1393"/>
      <c r="C1" s="1393"/>
      <c r="D1" s="1393"/>
      <c r="E1" s="1393"/>
      <c r="F1" s="1393"/>
      <c r="G1" s="1394"/>
    </row>
    <row r="2" spans="1:10">
      <c r="A2" s="1395" t="s">
        <v>3100</v>
      </c>
      <c r="B2" s="1396"/>
      <c r="C2" s="1396"/>
      <c r="D2" s="1396"/>
      <c r="E2" s="1396"/>
      <c r="F2" s="1396"/>
      <c r="G2" s="1397"/>
    </row>
    <row r="3" spans="1:10">
      <c r="A3" s="1255"/>
      <c r="B3" s="1256"/>
      <c r="C3" s="1257"/>
      <c r="D3" s="1258"/>
      <c r="E3" s="1258"/>
      <c r="F3" s="1064"/>
      <c r="G3" s="1259"/>
    </row>
    <row r="4" spans="1:10">
      <c r="A4" s="1255"/>
      <c r="B4" s="1256"/>
      <c r="C4" s="1257"/>
      <c r="D4" s="1260" t="s">
        <v>2241</v>
      </c>
      <c r="E4" s="1261"/>
      <c r="F4" s="1068" t="s">
        <v>3558</v>
      </c>
      <c r="G4" s="1259"/>
    </row>
    <row r="5" spans="1:10" ht="25.5">
      <c r="A5" s="1262" t="s">
        <v>1015</v>
      </c>
      <c r="B5" s="1263"/>
      <c r="C5" s="1264" t="s">
        <v>520</v>
      </c>
      <c r="D5" s="1261"/>
      <c r="E5" s="1261"/>
      <c r="F5" s="1265"/>
      <c r="G5" s="1259"/>
    </row>
    <row r="6" spans="1:10" ht="51">
      <c r="A6" s="1266"/>
      <c r="B6" s="1263"/>
      <c r="C6" s="1257" t="s">
        <v>521</v>
      </c>
      <c r="D6" s="1261"/>
      <c r="E6" s="1261"/>
      <c r="F6" s="1267"/>
      <c r="G6" s="1259"/>
    </row>
    <row r="7" spans="1:10">
      <c r="A7" s="1266"/>
      <c r="B7" s="1263"/>
      <c r="C7" s="1257"/>
      <c r="D7" s="1261"/>
      <c r="E7" s="1261"/>
      <c r="F7" s="1267"/>
      <c r="G7" s="1259"/>
    </row>
    <row r="8" spans="1:10">
      <c r="A8" s="1266"/>
      <c r="B8" s="1263">
        <v>38.1</v>
      </c>
      <c r="C8" s="1264" t="s">
        <v>522</v>
      </c>
      <c r="D8" s="1261"/>
      <c r="E8" s="1261"/>
      <c r="F8" s="1267"/>
      <c r="G8" s="1259"/>
    </row>
    <row r="9" spans="1:10">
      <c r="A9" s="1266"/>
      <c r="B9" s="1263"/>
      <c r="C9" s="1264" t="s">
        <v>523</v>
      </c>
      <c r="D9" s="1261"/>
      <c r="E9" s="1261"/>
      <c r="F9" s="1268"/>
      <c r="G9" s="1259"/>
    </row>
    <row r="10" spans="1:10">
      <c r="A10" s="1266"/>
      <c r="B10" s="1263"/>
      <c r="C10" s="1269" t="s">
        <v>534</v>
      </c>
      <c r="D10" s="1270"/>
      <c r="E10" s="1261"/>
      <c r="F10" s="1271">
        <f>'main TB'!I5</f>
        <v>3871632.78</v>
      </c>
      <c r="G10" s="1259"/>
      <c r="J10" s="1035"/>
    </row>
    <row r="11" spans="1:10" ht="25.5">
      <c r="A11" s="1266"/>
      <c r="B11" s="1263"/>
      <c r="C11" s="1269" t="s">
        <v>535</v>
      </c>
      <c r="D11" s="1272"/>
      <c r="E11" s="1261"/>
      <c r="F11" s="1273">
        <f>13589616-202389</f>
        <v>13387227</v>
      </c>
      <c r="G11" s="1259"/>
      <c r="H11" s="1229">
        <f>F10+F11+F12</f>
        <v>17261859.390000001</v>
      </c>
      <c r="J11" s="1035">
        <v>17261859</v>
      </c>
    </row>
    <row r="12" spans="1:10">
      <c r="A12" s="1266"/>
      <c r="B12" s="1263"/>
      <c r="C12" s="1269" t="s">
        <v>537</v>
      </c>
      <c r="D12" s="1272"/>
      <c r="E12" s="1261"/>
      <c r="F12" s="1273">
        <f>'main TB'!I10</f>
        <v>2999.61</v>
      </c>
      <c r="G12" s="1259"/>
      <c r="J12" s="1229"/>
    </row>
    <row r="13" spans="1:10">
      <c r="A13" s="1266"/>
      <c r="B13" s="1263"/>
      <c r="C13" s="1269" t="s">
        <v>536</v>
      </c>
      <c r="D13" s="1272"/>
      <c r="E13" s="1261"/>
      <c r="F13" s="1273">
        <v>42729684</v>
      </c>
      <c r="G13" s="1259"/>
      <c r="H13" s="1229">
        <v>42729684</v>
      </c>
    </row>
    <row r="14" spans="1:10">
      <c r="A14" s="1266"/>
      <c r="B14" s="1263"/>
      <c r="C14" s="1264" t="s">
        <v>2384</v>
      </c>
      <c r="D14" s="1274"/>
      <c r="E14" s="1261"/>
      <c r="F14" s="1275">
        <f>SUM(F10:F13)</f>
        <v>59991543.390000001</v>
      </c>
      <c r="G14" s="1259"/>
    </row>
    <row r="15" spans="1:10">
      <c r="A15" s="1266"/>
      <c r="B15" s="1263"/>
      <c r="C15" s="1264"/>
      <c r="D15" s="1261"/>
      <c r="E15" s="1261"/>
      <c r="F15" s="1265"/>
      <c r="G15" s="1259"/>
    </row>
    <row r="16" spans="1:10">
      <c r="A16" s="1266"/>
      <c r="B16" s="1263"/>
      <c r="C16" s="1264" t="s">
        <v>524</v>
      </c>
      <c r="D16" s="1261"/>
      <c r="E16" s="1261"/>
      <c r="F16" s="1268"/>
      <c r="G16" s="1259"/>
    </row>
    <row r="17" spans="1:8">
      <c r="A17" s="1266"/>
      <c r="B17" s="1263"/>
      <c r="C17" s="1269" t="s">
        <v>538</v>
      </c>
      <c r="D17" s="1270"/>
      <c r="E17" s="1261"/>
      <c r="F17" s="1271">
        <v>21252</v>
      </c>
      <c r="G17" s="1259"/>
    </row>
    <row r="18" spans="1:8" ht="25.5">
      <c r="A18" s="1266"/>
      <c r="B18" s="1263"/>
      <c r="C18" s="1269" t="s">
        <v>539</v>
      </c>
      <c r="D18" s="1272"/>
      <c r="E18" s="1261"/>
      <c r="F18" s="1273"/>
      <c r="G18" s="1259"/>
      <c r="H18" s="1229">
        <v>59991543</v>
      </c>
    </row>
    <row r="19" spans="1:8">
      <c r="A19" s="1266"/>
      <c r="B19" s="1263"/>
      <c r="C19" s="1269" t="s">
        <v>3565</v>
      </c>
      <c r="D19" s="1272"/>
      <c r="E19" s="1261"/>
      <c r="F19" s="1273"/>
      <c r="G19" s="1259"/>
      <c r="H19" s="1229">
        <v>-21252</v>
      </c>
    </row>
    <row r="20" spans="1:8" ht="25.5">
      <c r="A20" s="1266"/>
      <c r="B20" s="1263"/>
      <c r="C20" s="1269" t="s">
        <v>1521</v>
      </c>
      <c r="D20" s="1272"/>
      <c r="E20" s="1261"/>
      <c r="F20" s="1273">
        <v>0</v>
      </c>
      <c r="G20" s="1259"/>
      <c r="H20" s="1229">
        <v>-960</v>
      </c>
    </row>
    <row r="21" spans="1:8">
      <c r="A21" s="1266"/>
      <c r="B21" s="1263"/>
      <c r="C21" s="1269" t="s">
        <v>1522</v>
      </c>
      <c r="D21" s="1272"/>
      <c r="E21" s="1261"/>
      <c r="F21" s="1273"/>
      <c r="G21" s="1259"/>
      <c r="H21" s="1229">
        <f>SUM(H18:H20)</f>
        <v>59969331</v>
      </c>
    </row>
    <row r="22" spans="1:8">
      <c r="A22" s="1266"/>
      <c r="B22" s="1263"/>
      <c r="C22" s="1269" t="s">
        <v>540</v>
      </c>
      <c r="D22" s="1276"/>
      <c r="E22" s="1261"/>
      <c r="F22" s="1054">
        <v>960</v>
      </c>
      <c r="G22" s="1259"/>
    </row>
    <row r="23" spans="1:8">
      <c r="A23" s="1266"/>
      <c r="B23" s="1263"/>
      <c r="C23" s="1269" t="s">
        <v>541</v>
      </c>
      <c r="D23" s="1272"/>
      <c r="E23" s="1261"/>
      <c r="F23" s="1273"/>
      <c r="G23" s="1259"/>
    </row>
    <row r="24" spans="1:8" ht="25.5">
      <c r="A24" s="1266"/>
      <c r="B24" s="1263"/>
      <c r="C24" s="1269" t="s">
        <v>3084</v>
      </c>
      <c r="D24" s="1276"/>
      <c r="E24" s="1261"/>
      <c r="F24" s="1054">
        <f>60171720-202389</f>
        <v>59969331</v>
      </c>
      <c r="G24" s="1259"/>
    </row>
    <row r="25" spans="1:8">
      <c r="A25" s="1266"/>
      <c r="B25" s="1263"/>
      <c r="C25" s="1257"/>
      <c r="D25" s="1274"/>
      <c r="E25" s="1261"/>
      <c r="F25" s="1275">
        <f>SUM(F17:F24)</f>
        <v>59991543</v>
      </c>
      <c r="G25" s="1259"/>
    </row>
    <row r="26" spans="1:8">
      <c r="A26" s="1266"/>
      <c r="B26" s="1263">
        <v>38.200000000000003</v>
      </c>
      <c r="C26" s="1264" t="s">
        <v>525</v>
      </c>
      <c r="D26" s="1261"/>
      <c r="E26" s="1261"/>
      <c r="F26" s="1265"/>
      <c r="G26" s="1259"/>
    </row>
    <row r="27" spans="1:8">
      <c r="A27" s="1266"/>
      <c r="B27" s="1263"/>
      <c r="C27" s="1264" t="s">
        <v>523</v>
      </c>
      <c r="D27" s="1261"/>
      <c r="E27" s="1261"/>
      <c r="F27" s="1268"/>
      <c r="G27" s="1259"/>
    </row>
    <row r="28" spans="1:8">
      <c r="A28" s="1266"/>
      <c r="B28" s="1263"/>
      <c r="C28" s="1269" t="s">
        <v>2545</v>
      </c>
      <c r="D28" s="1270"/>
      <c r="E28" s="1261"/>
      <c r="F28" s="1271">
        <f>'main TB'!I19</f>
        <v>67936.56</v>
      </c>
      <c r="G28" s="1259"/>
    </row>
    <row r="29" spans="1:8">
      <c r="A29" s="1266"/>
      <c r="B29" s="1263"/>
      <c r="C29" s="1269" t="s">
        <v>2546</v>
      </c>
      <c r="D29" s="1272"/>
      <c r="E29" s="1261"/>
      <c r="F29" s="1273">
        <v>0</v>
      </c>
      <c r="G29" s="1259"/>
    </row>
    <row r="30" spans="1:8">
      <c r="A30" s="1266"/>
      <c r="B30" s="1263"/>
      <c r="C30" s="1269" t="s">
        <v>2547</v>
      </c>
      <c r="D30" s="1272"/>
      <c r="E30" s="1261"/>
      <c r="F30" s="1273">
        <v>7426</v>
      </c>
      <c r="G30" s="1259"/>
    </row>
    <row r="31" spans="1:8">
      <c r="A31" s="1266"/>
      <c r="B31" s="1263"/>
      <c r="C31" s="1269" t="s">
        <v>2862</v>
      </c>
      <c r="D31" s="1272"/>
      <c r="E31" s="1261"/>
      <c r="F31" s="1273">
        <v>49811</v>
      </c>
      <c r="G31" s="1259"/>
    </row>
    <row r="32" spans="1:8">
      <c r="A32" s="1266"/>
      <c r="B32" s="1263"/>
      <c r="C32" s="1269" t="s">
        <v>2548</v>
      </c>
      <c r="D32" s="1272"/>
      <c r="E32" s="1261"/>
      <c r="F32" s="1273">
        <v>875</v>
      </c>
      <c r="G32" s="1259"/>
    </row>
    <row r="33" spans="1:8" ht="13.5" thickBot="1">
      <c r="A33" s="1266"/>
      <c r="B33" s="1263"/>
      <c r="C33" s="1277" t="s">
        <v>2384</v>
      </c>
      <c r="D33" s="1278"/>
      <c r="E33" s="1261"/>
      <c r="F33" s="1279">
        <f>SUM(F28:F32)</f>
        <v>126048.56</v>
      </c>
      <c r="G33" s="1259"/>
    </row>
    <row r="34" spans="1:8" ht="13.5" thickTop="1">
      <c r="A34" s="1266"/>
      <c r="B34" s="1263"/>
      <c r="C34" s="1277"/>
      <c r="D34" s="1261"/>
      <c r="E34" s="1261"/>
      <c r="F34" s="1267"/>
      <c r="G34" s="1259"/>
    </row>
    <row r="35" spans="1:8">
      <c r="A35" s="1266"/>
      <c r="B35" s="1263"/>
      <c r="C35" s="1257"/>
      <c r="D35" s="1261"/>
      <c r="E35" s="1261"/>
      <c r="F35" s="1267"/>
      <c r="G35" s="1259"/>
    </row>
    <row r="36" spans="1:8">
      <c r="A36" s="1266"/>
      <c r="B36" s="1263"/>
      <c r="C36" s="1264" t="s">
        <v>524</v>
      </c>
      <c r="D36" s="1261"/>
      <c r="E36" s="1261"/>
      <c r="F36" s="1267"/>
      <c r="G36" s="1259"/>
    </row>
    <row r="37" spans="1:8" ht="25.5">
      <c r="A37" s="1266"/>
      <c r="B37" s="1263"/>
      <c r="C37" s="1280" t="s">
        <v>2549</v>
      </c>
      <c r="D37" s="1281"/>
      <c r="E37" s="1282"/>
      <c r="F37" s="1283">
        <v>31895</v>
      </c>
      <c r="G37" s="1259"/>
    </row>
    <row r="38" spans="1:8" ht="25.5">
      <c r="A38" s="1266"/>
      <c r="B38" s="1263"/>
      <c r="C38" s="1284" t="s">
        <v>3084</v>
      </c>
      <c r="D38" s="1285"/>
      <c r="E38" s="1282"/>
      <c r="F38" s="1286">
        <v>126050</v>
      </c>
      <c r="G38" s="1259"/>
      <c r="H38" s="1229" t="s">
        <v>55</v>
      </c>
    </row>
    <row r="39" spans="1:8">
      <c r="A39" s="1266"/>
      <c r="B39" s="1263"/>
      <c r="C39" s="1257"/>
      <c r="D39" s="1258"/>
      <c r="E39" s="1261"/>
      <c r="F39" s="1041"/>
      <c r="G39" s="1259"/>
    </row>
    <row r="40" spans="1:8">
      <c r="A40" s="1266"/>
      <c r="B40" s="1263">
        <v>38.299999999999997</v>
      </c>
      <c r="C40" s="1264" t="s">
        <v>526</v>
      </c>
      <c r="D40" s="1261"/>
      <c r="E40" s="1261"/>
      <c r="F40" s="1267"/>
      <c r="G40" s="1259"/>
    </row>
    <row r="41" spans="1:8">
      <c r="A41" s="1266"/>
      <c r="B41" s="1263"/>
      <c r="C41" s="1264" t="s">
        <v>523</v>
      </c>
      <c r="D41" s="1261"/>
      <c r="E41" s="1261"/>
      <c r="F41" s="1267">
        <f>'main TB'!I176</f>
        <v>53637354.349999994</v>
      </c>
      <c r="G41" s="1259"/>
    </row>
    <row r="42" spans="1:8">
      <c r="A42" s="1266"/>
      <c r="B42" s="1263"/>
      <c r="C42" s="1264" t="s">
        <v>524</v>
      </c>
      <c r="D42" s="1261"/>
      <c r="E42" s="1261"/>
      <c r="F42" s="1268"/>
      <c r="G42" s="1259"/>
    </row>
    <row r="43" spans="1:8" ht="25.5">
      <c r="A43" s="1266"/>
      <c r="B43" s="1263"/>
      <c r="C43" s="1269" t="s">
        <v>1480</v>
      </c>
      <c r="D43" s="1274"/>
      <c r="E43" s="1261"/>
      <c r="F43" s="1275">
        <v>-3585708</v>
      </c>
      <c r="G43" s="1259"/>
      <c r="H43" s="1229" t="s">
        <v>55</v>
      </c>
    </row>
    <row r="44" spans="1:8" ht="25.5">
      <c r="A44" s="1266"/>
      <c r="B44" s="1263"/>
      <c r="C44" s="1269" t="s">
        <v>3085</v>
      </c>
      <c r="D44" s="1261"/>
      <c r="E44" s="1261"/>
      <c r="F44" s="1265"/>
      <c r="G44" s="1259"/>
      <c r="H44" s="1229" t="s">
        <v>55</v>
      </c>
    </row>
    <row r="45" spans="1:8">
      <c r="A45" s="1266"/>
      <c r="B45" s="1263"/>
      <c r="C45" s="1257"/>
      <c r="D45" s="1261"/>
      <c r="E45" s="1261"/>
      <c r="F45" s="1267"/>
      <c r="G45" s="1259"/>
      <c r="H45" s="1229" t="s">
        <v>55</v>
      </c>
    </row>
    <row r="46" spans="1:8">
      <c r="A46" s="1266"/>
      <c r="B46" s="1263">
        <v>38.4</v>
      </c>
      <c r="C46" s="1264" t="s">
        <v>527</v>
      </c>
      <c r="D46" s="1261"/>
      <c r="E46" s="1261"/>
      <c r="F46" s="1267"/>
      <c r="G46" s="1259"/>
    </row>
    <row r="47" spans="1:8">
      <c r="A47" s="1266"/>
      <c r="B47" s="1263"/>
      <c r="C47" s="1264" t="s">
        <v>523</v>
      </c>
      <c r="D47" s="1261"/>
      <c r="E47" s="1261"/>
      <c r="F47" s="1267"/>
      <c r="G47" s="1259"/>
    </row>
    <row r="48" spans="1:8">
      <c r="A48" s="1266"/>
      <c r="B48" s="1263"/>
      <c r="C48" s="1264" t="s">
        <v>524</v>
      </c>
      <c r="D48" s="1261"/>
      <c r="E48" s="1261"/>
      <c r="F48" s="1268"/>
      <c r="G48" s="1259"/>
    </row>
    <row r="49" spans="1:10">
      <c r="A49" s="1266"/>
      <c r="B49" s="1263"/>
      <c r="C49" s="1269" t="s">
        <v>542</v>
      </c>
      <c r="D49" s="1270"/>
      <c r="E49" s="1261"/>
      <c r="F49" s="1271"/>
      <c r="G49" s="1259"/>
      <c r="J49" s="1254">
        <f>2652276.58+78055.3</f>
        <v>2730331.88</v>
      </c>
    </row>
    <row r="50" spans="1:10">
      <c r="A50" s="1266"/>
      <c r="B50" s="1263"/>
      <c r="C50" s="1269" t="s">
        <v>543</v>
      </c>
      <c r="D50" s="1272"/>
      <c r="E50" s="1261"/>
      <c r="F50" s="1273">
        <f>'Note 10'!D28</f>
        <v>-7028083.6299999999</v>
      </c>
      <c r="G50" s="1259"/>
      <c r="J50" s="1254">
        <v>3507652.18</v>
      </c>
    </row>
    <row r="51" spans="1:10">
      <c r="A51" s="1266"/>
      <c r="B51" s="1263"/>
      <c r="C51" s="1269" t="s">
        <v>544</v>
      </c>
      <c r="D51" s="1272"/>
      <c r="E51" s="1261"/>
      <c r="F51" s="1273">
        <f>'Note 10'!E28</f>
        <v>-5200229.03</v>
      </c>
      <c r="G51" s="1259"/>
      <c r="J51" s="1254">
        <f>SUM(J49:J50)</f>
        <v>6237984.0600000005</v>
      </c>
    </row>
    <row r="52" spans="1:10">
      <c r="A52" s="1266"/>
      <c r="B52" s="1263"/>
      <c r="C52" s="1269" t="s">
        <v>545</v>
      </c>
      <c r="D52" s="1272"/>
      <c r="E52" s="1261"/>
      <c r="F52" s="1273">
        <f>'Note 10'!F28</f>
        <v>-3505009.29</v>
      </c>
      <c r="G52" s="1259"/>
    </row>
    <row r="53" spans="1:10" ht="25.5">
      <c r="A53" s="1266"/>
      <c r="B53" s="1263"/>
      <c r="C53" s="1269" t="s">
        <v>3085</v>
      </c>
      <c r="D53" s="1274"/>
      <c r="E53" s="1261"/>
      <c r="F53" s="1275">
        <f>SUM(F49:F52)</f>
        <v>-15733321.949999999</v>
      </c>
      <c r="G53" s="1259"/>
      <c r="J53" s="1254">
        <f>8159467.71+5430147.82</f>
        <v>13589615.530000001</v>
      </c>
    </row>
    <row r="54" spans="1:10">
      <c r="A54" s="1287"/>
      <c r="B54" s="1288"/>
      <c r="C54" s="1289"/>
      <c r="D54" s="1290"/>
      <c r="E54" s="1290"/>
      <c r="F54" s="1291"/>
      <c r="G54" s="1292"/>
    </row>
    <row r="55" spans="1:10">
      <c r="A55" s="1293"/>
      <c r="B55" s="1294">
        <v>38.5</v>
      </c>
      <c r="C55" s="1295" t="s">
        <v>528</v>
      </c>
      <c r="D55" s="1296"/>
      <c r="E55" s="1296"/>
      <c r="F55" s="1265"/>
      <c r="G55" s="1297"/>
    </row>
    <row r="56" spans="1:10">
      <c r="A56" s="1266"/>
      <c r="B56" s="1263"/>
      <c r="C56" s="1264" t="s">
        <v>523</v>
      </c>
      <c r="D56" s="1261"/>
      <c r="E56" s="1261"/>
      <c r="F56" s="1267">
        <f>+F58</f>
        <v>1562226</v>
      </c>
      <c r="G56" s="1259"/>
    </row>
    <row r="57" spans="1:10">
      <c r="A57" s="1266"/>
      <c r="B57" s="1263"/>
      <c r="C57" s="1264" t="s">
        <v>524</v>
      </c>
      <c r="D57" s="1261"/>
      <c r="E57" s="1261"/>
      <c r="F57" s="1267"/>
      <c r="G57" s="1259"/>
    </row>
    <row r="58" spans="1:10">
      <c r="A58" s="1266"/>
      <c r="B58" s="1263"/>
      <c r="C58" s="1269" t="s">
        <v>546</v>
      </c>
      <c r="D58" s="1298"/>
      <c r="E58" s="1261"/>
      <c r="F58" s="1283">
        <v>1562226</v>
      </c>
      <c r="G58" s="1259"/>
    </row>
    <row r="59" spans="1:10">
      <c r="A59" s="1266"/>
      <c r="B59" s="1263"/>
      <c r="C59" s="1269" t="s">
        <v>55</v>
      </c>
      <c r="D59" s="1299"/>
      <c r="E59" s="1261"/>
      <c r="F59" s="1286"/>
      <c r="G59" s="1259"/>
    </row>
    <row r="60" spans="1:10">
      <c r="A60" s="1266"/>
      <c r="B60" s="1263"/>
      <c r="C60" s="1257"/>
      <c r="D60" s="1261"/>
      <c r="E60" s="1261"/>
      <c r="F60" s="1267"/>
      <c r="G60" s="1259"/>
    </row>
    <row r="61" spans="1:10">
      <c r="A61" s="1266"/>
      <c r="B61" s="1263">
        <v>38.6</v>
      </c>
      <c r="C61" s="1264" t="s">
        <v>529</v>
      </c>
      <c r="D61" s="1261"/>
      <c r="E61" s="1261"/>
      <c r="F61" s="1267"/>
      <c r="G61" s="1259"/>
    </row>
    <row r="62" spans="1:10">
      <c r="A62" s="1266"/>
      <c r="B62" s="1263"/>
      <c r="C62" s="1264" t="s">
        <v>524</v>
      </c>
      <c r="D62" s="1261"/>
      <c r="E62" s="1261"/>
      <c r="F62" s="1267"/>
      <c r="G62" s="1259"/>
    </row>
    <row r="63" spans="1:10" ht="25.5">
      <c r="A63" s="1266"/>
      <c r="B63" s="1263"/>
      <c r="C63" s="1269" t="s">
        <v>3086</v>
      </c>
      <c r="D63" s="1270"/>
      <c r="E63" s="1261"/>
      <c r="F63" s="1271">
        <f>F24+202389</f>
        <v>60171720</v>
      </c>
      <c r="G63" s="1259"/>
      <c r="H63" s="1229">
        <f>F63+F64</f>
        <v>60297768.560000002</v>
      </c>
    </row>
    <row r="64" spans="1:10" ht="25.5">
      <c r="A64" s="1266"/>
      <c r="B64" s="1263"/>
      <c r="C64" s="1269" t="s">
        <v>1527</v>
      </c>
      <c r="D64" s="1272"/>
      <c r="E64" s="1261"/>
      <c r="F64" s="1273">
        <f>F33</f>
        <v>126048.56</v>
      </c>
      <c r="G64" s="1259"/>
      <c r="H64" s="1229">
        <f>F72-H63</f>
        <v>-180176.6099999994</v>
      </c>
    </row>
    <row r="65" spans="1:10" ht="25.5">
      <c r="A65" s="1266"/>
      <c r="B65" s="1263"/>
      <c r="C65" s="1269" t="s">
        <v>3087</v>
      </c>
      <c r="D65" s="1272"/>
      <c r="E65" s="1261"/>
      <c r="F65" s="1273">
        <f>-F43</f>
        <v>3585708</v>
      </c>
      <c r="G65" s="1259"/>
    </row>
    <row r="66" spans="1:10">
      <c r="A66" s="1266"/>
      <c r="B66" s="1263"/>
      <c r="C66" s="1269" t="s">
        <v>3088</v>
      </c>
      <c r="D66" s="1272"/>
      <c r="E66" s="1261"/>
      <c r="F66" s="1273">
        <f>F53</f>
        <v>-15733321.949999999</v>
      </c>
      <c r="G66" s="1259"/>
      <c r="H66" s="1229">
        <v>15985321.949999999</v>
      </c>
      <c r="J66" s="1300">
        <f>SUM(F63:F70)</f>
        <v>48150154.609999999</v>
      </c>
    </row>
    <row r="67" spans="1:10">
      <c r="A67" s="1266"/>
      <c r="B67" s="1263"/>
      <c r="C67" s="1269" t="s">
        <v>3089</v>
      </c>
      <c r="D67" s="1272"/>
      <c r="E67" s="1261"/>
      <c r="F67" s="1273">
        <v>0</v>
      </c>
      <c r="G67" s="1259"/>
      <c r="H67" s="1229">
        <f>SUM(F66:H66)</f>
        <v>252000</v>
      </c>
    </row>
    <row r="68" spans="1:10">
      <c r="A68" s="1266"/>
      <c r="B68" s="1263"/>
      <c r="C68" s="1269" t="s">
        <v>547</v>
      </c>
      <c r="D68" s="1272"/>
      <c r="E68" s="1261"/>
      <c r="F68" s="1273"/>
      <c r="G68" s="1259"/>
      <c r="H68" s="1229">
        <v>36000</v>
      </c>
    </row>
    <row r="69" spans="1:10">
      <c r="A69" s="1266"/>
      <c r="B69" s="1263"/>
      <c r="C69" s="1269" t="s">
        <v>530</v>
      </c>
      <c r="D69" s="1272"/>
      <c r="E69" s="1261"/>
      <c r="F69" s="1273"/>
      <c r="G69" s="1259"/>
      <c r="H69" s="1229">
        <f>SUM(H67:H68)</f>
        <v>288000</v>
      </c>
    </row>
    <row r="70" spans="1:10">
      <c r="A70" s="1266"/>
      <c r="B70" s="1263"/>
      <c r="C70" s="1269" t="s">
        <v>531</v>
      </c>
      <c r="D70" s="1272"/>
      <c r="E70" s="1261"/>
      <c r="F70" s="1273"/>
      <c r="G70" s="1259"/>
    </row>
    <row r="71" spans="1:10">
      <c r="A71" s="1266"/>
      <c r="B71" s="1263"/>
      <c r="C71" s="1257"/>
      <c r="D71" s="1274"/>
      <c r="E71" s="1261"/>
      <c r="F71" s="1275">
        <f>SUM(F58:F70)</f>
        <v>49712380.609999999</v>
      </c>
      <c r="G71" s="1259"/>
    </row>
    <row r="72" spans="1:10">
      <c r="A72" s="1266"/>
      <c r="B72" s="1263"/>
      <c r="C72" s="1257"/>
      <c r="D72" s="1261"/>
      <c r="E72" s="1261"/>
      <c r="F72" s="1267">
        <f>'Changes in Net assets'!B7</f>
        <v>60117591.950000003</v>
      </c>
      <c r="G72" s="1259"/>
      <c r="H72" s="1229">
        <f>F72-F71</f>
        <v>10405211.340000004</v>
      </c>
    </row>
    <row r="73" spans="1:10">
      <c r="A73" s="1301"/>
      <c r="B73" s="1302"/>
      <c r="C73" s="1289"/>
      <c r="D73" s="1303"/>
      <c r="E73" s="1303"/>
      <c r="F73" s="1064"/>
      <c r="G73" s="1292"/>
    </row>
    <row r="75" spans="1:10">
      <c r="F75" s="1035">
        <f>SUM('Changes in Net assets'!F38)</f>
        <v>0.26000003889203072</v>
      </c>
    </row>
    <row r="76" spans="1:10">
      <c r="F76" s="1035">
        <v>6237984</v>
      </c>
    </row>
    <row r="78" spans="1:10">
      <c r="F78" s="1035">
        <f>SUM(F75-F76)</f>
        <v>-6237983.7399999611</v>
      </c>
    </row>
    <row r="81" spans="6:6">
      <c r="F81" s="1035">
        <f>+'main TB'!M44</f>
        <v>-16257458.5</v>
      </c>
    </row>
  </sheetData>
  <mergeCells count="2">
    <mergeCell ref="A1:G1"/>
    <mergeCell ref="A2:G2"/>
  </mergeCells>
  <phoneticPr fontId="35" type="noConversion"/>
  <printOptions horizontalCentered="1"/>
  <pageMargins left="0.6692913385826772" right="0.39370078740157483" top="0.98425196850393704" bottom="0.98425196850393704" header="0.51181102362204722" footer="0.51181102362204722"/>
  <pageSetup scale="77" orientation="portrait" r:id="rId1"/>
  <headerFooter alignWithMargins="0">
    <oddHeader>&amp;C FINANCIAL STATEMENTS: MUSINA LOCAL MUNICIPALITY</oddHeader>
    <oddFooter>&amp;RPage &amp;P</oddFooter>
  </headerFooter>
  <rowBreaks count="2" manualBreakCount="2">
    <brk id="54" max="6" man="1"/>
    <brk id="73" max="16383" man="1"/>
  </rowBreaks>
  <legacyDrawing r:id="rId2"/>
</worksheet>
</file>

<file path=xl/worksheets/sheet19.xml><?xml version="1.0" encoding="utf-8"?>
<worksheet xmlns="http://schemas.openxmlformats.org/spreadsheetml/2006/main" xmlns:r="http://schemas.openxmlformats.org/officeDocument/2006/relationships">
  <dimension ref="A1:M53"/>
  <sheetViews>
    <sheetView view="pageBreakPreview" zoomScale="85" zoomScaleSheetLayoutView="85" workbookViewId="0">
      <selection activeCell="F19" sqref="F19:G19"/>
    </sheetView>
  </sheetViews>
  <sheetFormatPr defaultRowHeight="15"/>
  <cols>
    <col min="1" max="1" width="9.140625" style="150" customWidth="1"/>
    <col min="2" max="2" width="50.7109375" style="67" customWidth="1"/>
    <col min="3" max="3" width="2.28515625" style="67" customWidth="1"/>
    <col min="4" max="4" width="15.42578125" style="66" bestFit="1" customWidth="1"/>
    <col min="5" max="6" width="2.28515625" style="67" customWidth="1"/>
    <col min="7" max="7" width="2.28515625" style="72" customWidth="1"/>
    <col min="8" max="8" width="13.42578125" style="124" customWidth="1"/>
    <col min="9" max="9" width="2.28515625" style="72" customWidth="1"/>
    <col min="10" max="10" width="9.140625" style="72" customWidth="1"/>
    <col min="11" max="11" width="15" style="66" bestFit="1" customWidth="1"/>
    <col min="12" max="12" width="9.140625" style="66" customWidth="1"/>
    <col min="13" max="13" width="14.5703125" style="66" bestFit="1" customWidth="1"/>
    <col min="14" max="16384" width="9.140625" style="67"/>
  </cols>
  <sheetData>
    <row r="1" spans="1:13">
      <c r="A1" s="1402" t="s">
        <v>3477</v>
      </c>
      <c r="B1" s="1403"/>
      <c r="C1" s="1403"/>
      <c r="D1" s="1403"/>
      <c r="E1" s="1403"/>
      <c r="F1" s="1403"/>
      <c r="G1" s="1403"/>
      <c r="H1" s="1403"/>
      <c r="I1" s="1404"/>
    </row>
    <row r="2" spans="1:13">
      <c r="A2" s="1405" t="s">
        <v>3100</v>
      </c>
      <c r="B2" s="1406"/>
      <c r="C2" s="1406"/>
      <c r="D2" s="1406"/>
      <c r="E2" s="1406"/>
      <c r="F2" s="1406"/>
      <c r="G2" s="1406"/>
      <c r="H2" s="1406"/>
      <c r="I2" s="1407"/>
    </row>
    <row r="3" spans="1:13">
      <c r="A3" s="149"/>
      <c r="B3" s="72"/>
      <c r="C3" s="72"/>
      <c r="D3" s="124"/>
      <c r="E3" s="72"/>
      <c r="F3" s="72"/>
      <c r="I3" s="130"/>
    </row>
    <row r="4" spans="1:13">
      <c r="A4" s="149"/>
      <c r="B4" s="72"/>
      <c r="C4" s="72"/>
      <c r="D4" s="124"/>
      <c r="E4" s="72"/>
      <c r="F4" s="72"/>
      <c r="I4" s="130"/>
    </row>
    <row r="5" spans="1:13">
      <c r="A5" s="152" t="s">
        <v>532</v>
      </c>
      <c r="B5" s="128" t="s">
        <v>3451</v>
      </c>
      <c r="C5" s="72"/>
      <c r="D5" s="124"/>
      <c r="E5" s="72"/>
      <c r="F5" s="72"/>
      <c r="I5" s="130"/>
    </row>
    <row r="6" spans="1:13" ht="28.5">
      <c r="A6" s="220"/>
      <c r="B6" s="201" t="s">
        <v>548</v>
      </c>
      <c r="C6" s="221"/>
      <c r="D6" s="221"/>
      <c r="E6" s="72"/>
      <c r="F6" s="72"/>
      <c r="I6" s="130"/>
    </row>
    <row r="7" spans="1:13">
      <c r="A7" s="149"/>
      <c r="B7" s="142"/>
      <c r="C7" s="142"/>
      <c r="D7" s="125"/>
      <c r="E7" s="72"/>
      <c r="F7" s="72"/>
      <c r="I7" s="130"/>
    </row>
    <row r="8" spans="1:13">
      <c r="A8" s="149"/>
      <c r="B8" s="142"/>
      <c r="C8" s="142"/>
      <c r="D8" s="126"/>
      <c r="E8" s="72"/>
      <c r="F8" s="72"/>
      <c r="I8" s="130"/>
    </row>
    <row r="9" spans="1:13">
      <c r="A9" s="149"/>
      <c r="B9" s="127" t="s">
        <v>2550</v>
      </c>
      <c r="C9" s="72"/>
      <c r="E9" s="72"/>
      <c r="F9" s="72"/>
      <c r="H9" s="124">
        <v>812439</v>
      </c>
      <c r="I9" s="130"/>
    </row>
    <row r="10" spans="1:13">
      <c r="A10" s="149"/>
      <c r="B10" s="127" t="s">
        <v>2551</v>
      </c>
      <c r="C10" s="72"/>
      <c r="E10" s="72"/>
      <c r="F10" s="72"/>
      <c r="H10" s="124">
        <v>5137758</v>
      </c>
      <c r="I10" s="130"/>
    </row>
    <row r="11" spans="1:13" ht="15.75" thickBot="1">
      <c r="A11" s="149"/>
      <c r="B11" s="128" t="s">
        <v>2384</v>
      </c>
      <c r="C11" s="72"/>
      <c r="E11" s="72"/>
      <c r="F11" s="72"/>
      <c r="H11" s="153">
        <f>SUM(H9:H10)</f>
        <v>5950197</v>
      </c>
      <c r="I11" s="130"/>
    </row>
    <row r="12" spans="1:13" ht="15.75" thickTop="1">
      <c r="A12" s="154"/>
      <c r="B12" s="155"/>
      <c r="C12" s="155"/>
      <c r="D12" s="83"/>
      <c r="E12" s="155"/>
      <c r="F12" s="155"/>
      <c r="G12" s="155"/>
      <c r="H12" s="83"/>
      <c r="I12" s="156"/>
    </row>
    <row r="13" spans="1:13">
      <c r="A13" s="146"/>
      <c r="B13" s="147"/>
      <c r="C13" s="147"/>
      <c r="D13" s="148"/>
      <c r="E13" s="147"/>
      <c r="F13" s="72"/>
      <c r="G13" s="147"/>
      <c r="H13" s="148"/>
      <c r="I13" s="129"/>
    </row>
    <row r="14" spans="1:13">
      <c r="A14" s="152" t="s">
        <v>533</v>
      </c>
      <c r="B14" s="120" t="s">
        <v>1016</v>
      </c>
      <c r="C14" s="72"/>
      <c r="D14" s="124"/>
      <c r="E14" s="72"/>
      <c r="F14" s="72"/>
      <c r="I14" s="130"/>
    </row>
    <row r="15" spans="1:13" s="222" customFormat="1" ht="28.5">
      <c r="A15" s="220"/>
      <c r="B15" s="201" t="s">
        <v>2552</v>
      </c>
      <c r="C15" s="221"/>
      <c r="D15" s="221"/>
      <c r="E15" s="221"/>
      <c r="F15" s="221"/>
      <c r="G15" s="221"/>
      <c r="H15" s="221"/>
      <c r="I15" s="484"/>
      <c r="J15" s="243"/>
      <c r="K15" s="223"/>
      <c r="L15" s="223"/>
      <c r="M15" s="223"/>
    </row>
    <row r="16" spans="1:13" s="150" customFormat="1">
      <c r="A16" s="149"/>
      <c r="B16" s="142"/>
      <c r="C16" s="142"/>
      <c r="D16" s="125"/>
      <c r="E16" s="142"/>
      <c r="F16" s="142"/>
      <c r="G16" s="142"/>
      <c r="H16" s="125"/>
      <c r="I16" s="485"/>
      <c r="J16" s="142"/>
      <c r="K16" s="151"/>
      <c r="L16" s="151"/>
      <c r="M16" s="151"/>
    </row>
    <row r="17" spans="1:9" ht="14.25" customHeight="1">
      <c r="A17" s="149"/>
      <c r="B17" s="127"/>
      <c r="C17" s="72"/>
      <c r="D17" s="124"/>
      <c r="E17" s="72"/>
      <c r="F17" s="72"/>
      <c r="I17" s="130"/>
    </row>
    <row r="18" spans="1:9" ht="15.75" thickBot="1">
      <c r="A18" s="149"/>
      <c r="B18" s="128" t="s">
        <v>2384</v>
      </c>
      <c r="C18" s="72"/>
      <c r="E18" s="72"/>
      <c r="F18" s="72"/>
      <c r="H18" s="153">
        <f>SUM(D17:D17)</f>
        <v>0</v>
      </c>
      <c r="I18" s="130"/>
    </row>
    <row r="19" spans="1:9" ht="15.75" thickTop="1">
      <c r="A19" s="154"/>
      <c r="B19" s="155"/>
      <c r="C19" s="155"/>
      <c r="D19" s="83"/>
      <c r="E19" s="155"/>
      <c r="F19" s="155"/>
      <c r="G19" s="155"/>
      <c r="H19" s="83"/>
      <c r="I19" s="156"/>
    </row>
    <row r="20" spans="1:9">
      <c r="A20" s="146"/>
      <c r="B20" s="147"/>
      <c r="C20" s="147"/>
      <c r="D20" s="148"/>
      <c r="E20" s="147"/>
      <c r="F20" s="147"/>
      <c r="G20" s="147"/>
      <c r="H20" s="148"/>
      <c r="I20" s="129"/>
    </row>
    <row r="21" spans="1:9">
      <c r="A21" s="486" t="s">
        <v>606</v>
      </c>
      <c r="B21" s="481" t="s">
        <v>607</v>
      </c>
      <c r="C21" s="479"/>
      <c r="D21" s="480"/>
      <c r="E21" s="479"/>
      <c r="F21" s="479"/>
      <c r="G21" s="479"/>
      <c r="H21" s="480"/>
      <c r="I21" s="487"/>
    </row>
    <row r="22" spans="1:9" ht="25.5">
      <c r="A22" s="411"/>
      <c r="B22" s="366"/>
      <c r="C22" s="366"/>
      <c r="D22" s="482" t="s">
        <v>3639</v>
      </c>
      <c r="E22" s="366"/>
      <c r="F22" s="366"/>
      <c r="G22" s="366"/>
      <c r="H22" s="482" t="s">
        <v>3640</v>
      </c>
      <c r="I22" s="488"/>
    </row>
    <row r="23" spans="1:9">
      <c r="A23" s="489"/>
      <c r="B23" s="481" t="s">
        <v>3637</v>
      </c>
      <c r="C23" s="479"/>
      <c r="D23" s="480"/>
      <c r="E23" s="479"/>
      <c r="F23" s="479"/>
      <c r="G23" s="479"/>
      <c r="H23" s="480"/>
      <c r="I23" s="487"/>
    </row>
    <row r="24" spans="1:9">
      <c r="A24" s="489"/>
      <c r="B24" s="479" t="s">
        <v>3638</v>
      </c>
      <c r="C24" s="479"/>
      <c r="D24" s="480">
        <v>28774.68</v>
      </c>
      <c r="E24" s="479"/>
      <c r="F24" s="479"/>
      <c r="G24" s="479"/>
      <c r="H24" s="480">
        <v>4670.54</v>
      </c>
      <c r="I24" s="487"/>
    </row>
    <row r="25" spans="1:9">
      <c r="A25" s="489"/>
      <c r="B25" s="479" t="s">
        <v>3641</v>
      </c>
      <c r="C25" s="479"/>
      <c r="D25" s="480">
        <v>31901.38</v>
      </c>
      <c r="E25" s="479"/>
      <c r="F25" s="479"/>
      <c r="G25" s="479"/>
      <c r="H25" s="480">
        <v>1900.35</v>
      </c>
      <c r="I25" s="487"/>
    </row>
    <row r="26" spans="1:9">
      <c r="A26" s="489"/>
      <c r="B26" s="479" t="s">
        <v>3642</v>
      </c>
      <c r="C26" s="479"/>
      <c r="D26" s="480">
        <v>77261.2</v>
      </c>
      <c r="E26" s="479"/>
      <c r="F26" s="479"/>
      <c r="G26" s="479"/>
      <c r="H26" s="480">
        <v>3963.62</v>
      </c>
      <c r="I26" s="487"/>
    </row>
    <row r="27" spans="1:9" ht="15.75" thickBot="1">
      <c r="A27" s="489"/>
      <c r="B27" s="479"/>
      <c r="C27" s="479"/>
      <c r="D27" s="483">
        <f>SUM(D24:D26)</f>
        <v>137937.26</v>
      </c>
      <c r="E27" s="479"/>
      <c r="F27" s="479"/>
      <c r="G27" s="479"/>
      <c r="H27" s="483">
        <f>SUM(H24:H26)</f>
        <v>10534.509999999998</v>
      </c>
      <c r="I27" s="487"/>
    </row>
    <row r="28" spans="1:9" ht="15.75" thickTop="1">
      <c r="A28" s="490"/>
      <c r="B28" s="491"/>
      <c r="C28" s="491"/>
      <c r="D28" s="492"/>
      <c r="E28" s="491"/>
      <c r="F28" s="491"/>
      <c r="G28" s="491"/>
      <c r="H28" s="492"/>
      <c r="I28" s="493"/>
    </row>
    <row r="29" spans="1:9">
      <c r="A29" s="142">
        <v>42</v>
      </c>
      <c r="B29" s="1145" t="s">
        <v>3670</v>
      </c>
      <c r="C29" s="72"/>
      <c r="D29" s="124"/>
      <c r="E29" s="72"/>
      <c r="F29" s="72"/>
    </row>
    <row r="30" spans="1:9">
      <c r="A30" s="142"/>
      <c r="B30" s="1146">
        <v>42.1</v>
      </c>
      <c r="C30" s="72"/>
      <c r="D30" s="124"/>
      <c r="E30" s="72"/>
      <c r="F30" s="72"/>
    </row>
    <row r="31" spans="1:9">
      <c r="A31" s="142"/>
      <c r="B31" s="72" t="s">
        <v>3685</v>
      </c>
      <c r="C31" s="72"/>
      <c r="D31" s="124"/>
      <c r="E31" s="72"/>
      <c r="F31" s="72"/>
    </row>
    <row r="32" spans="1:9" ht="36.75" customHeight="1">
      <c r="A32" s="142"/>
      <c r="B32" s="1408" t="s">
        <v>3674</v>
      </c>
      <c r="C32" s="1408"/>
      <c r="D32" s="1408"/>
      <c r="E32" s="1408"/>
      <c r="F32" s="1408"/>
      <c r="G32" s="1408"/>
      <c r="H32" s="1408"/>
    </row>
    <row r="33" spans="1:13" ht="20.25" customHeight="1">
      <c r="A33" s="142"/>
      <c r="B33" s="1408" t="s">
        <v>3671</v>
      </c>
      <c r="C33" s="1408"/>
      <c r="D33" s="1408"/>
      <c r="E33" s="1408"/>
      <c r="F33" s="1408"/>
      <c r="G33" s="1408"/>
      <c r="H33" s="1408"/>
    </row>
    <row r="34" spans="1:13">
      <c r="A34" s="142"/>
      <c r="B34" s="72" t="s">
        <v>3672</v>
      </c>
      <c r="C34" s="72"/>
      <c r="D34" s="124"/>
      <c r="E34" s="72"/>
      <c r="F34" s="72"/>
    </row>
    <row r="35" spans="1:13">
      <c r="A35" s="142"/>
      <c r="B35" s="72"/>
      <c r="C35" s="72"/>
      <c r="D35" s="126" t="s">
        <v>3386</v>
      </c>
      <c r="E35" s="72"/>
      <c r="F35" s="72"/>
    </row>
    <row r="36" spans="1:13">
      <c r="A36" s="142"/>
      <c r="B36" s="72" t="s">
        <v>3682</v>
      </c>
      <c r="C36" s="72"/>
      <c r="D36" s="124">
        <v>2032013.05</v>
      </c>
      <c r="E36" s="72"/>
      <c r="F36" s="72"/>
    </row>
    <row r="37" spans="1:13">
      <c r="A37" s="142"/>
      <c r="B37" s="1409" t="s">
        <v>3673</v>
      </c>
      <c r="C37" s="1409"/>
      <c r="D37" s="1409"/>
      <c r="E37" s="1409"/>
      <c r="F37" s="1409"/>
      <c r="G37" s="1409"/>
      <c r="H37" s="1409"/>
    </row>
    <row r="38" spans="1:13">
      <c r="A38" s="142"/>
      <c r="B38" s="72"/>
      <c r="C38" s="72"/>
      <c r="D38" s="124"/>
      <c r="E38" s="72"/>
      <c r="F38" s="72"/>
    </row>
    <row r="39" spans="1:13">
      <c r="A39" s="142"/>
      <c r="B39" s="1145" t="s">
        <v>3677</v>
      </c>
      <c r="C39" s="72"/>
      <c r="D39" s="126" t="s">
        <v>3386</v>
      </c>
      <c r="E39" s="72"/>
      <c r="F39" s="72"/>
    </row>
    <row r="40" spans="1:13">
      <c r="A40" s="142"/>
      <c r="B40" s="72" t="s">
        <v>3675</v>
      </c>
      <c r="C40" s="72"/>
      <c r="D40" s="124">
        <v>0</v>
      </c>
      <c r="E40" s="72"/>
      <c r="F40" s="72"/>
    </row>
    <row r="41" spans="1:13">
      <c r="A41" s="142"/>
      <c r="B41" s="72" t="s">
        <v>3678</v>
      </c>
      <c r="C41" s="72"/>
      <c r="D41" s="124">
        <v>0</v>
      </c>
      <c r="E41" s="72"/>
      <c r="F41" s="72"/>
    </row>
    <row r="42" spans="1:13">
      <c r="A42" s="142"/>
      <c r="B42" s="72" t="s">
        <v>3676</v>
      </c>
      <c r="C42" s="72"/>
      <c r="D42" s="124">
        <v>0</v>
      </c>
      <c r="E42" s="72"/>
      <c r="F42" s="72"/>
    </row>
    <row r="43" spans="1:13">
      <c r="A43" s="142"/>
      <c r="B43" s="72"/>
      <c r="C43" s="72"/>
      <c r="D43" s="124"/>
      <c r="E43" s="72"/>
      <c r="F43" s="72"/>
    </row>
    <row r="44" spans="1:13" ht="27.75" customHeight="1">
      <c r="A44" s="142"/>
      <c r="B44" s="1408" t="s">
        <v>3679</v>
      </c>
      <c r="C44" s="1408"/>
      <c r="D44" s="1408"/>
      <c r="E44" s="1408"/>
      <c r="F44" s="1408"/>
      <c r="G44" s="1408"/>
      <c r="H44" s="1408"/>
    </row>
    <row r="45" spans="1:13" s="72" customFormat="1">
      <c r="A45" s="142"/>
      <c r="D45" s="124"/>
      <c r="H45" s="124"/>
      <c r="K45" s="124"/>
      <c r="L45" s="124"/>
      <c r="M45" s="124"/>
    </row>
    <row r="46" spans="1:13">
      <c r="B46" s="67" t="s">
        <v>3683</v>
      </c>
    </row>
    <row r="47" spans="1:13">
      <c r="B47" s="67" t="s">
        <v>3684</v>
      </c>
      <c r="D47" s="66">
        <v>360000</v>
      </c>
    </row>
    <row r="49" spans="2:9">
      <c r="B49" s="1147">
        <v>42.2</v>
      </c>
    </row>
    <row r="51" spans="2:9">
      <c r="B51" s="84" t="s">
        <v>3680</v>
      </c>
    </row>
    <row r="52" spans="2:9">
      <c r="B52" s="1398" t="s">
        <v>3681</v>
      </c>
      <c r="C52" s="1398"/>
      <c r="D52" s="1399"/>
      <c r="E52" s="1398"/>
      <c r="F52" s="1398"/>
      <c r="G52" s="1400"/>
      <c r="H52" s="1401"/>
      <c r="I52" s="1400"/>
    </row>
    <row r="53" spans="2:9">
      <c r="B53" s="1398"/>
      <c r="C53" s="1398"/>
      <c r="D53" s="1399"/>
      <c r="E53" s="1398"/>
      <c r="F53" s="1398"/>
      <c r="G53" s="1400"/>
      <c r="H53" s="1401"/>
      <c r="I53" s="1400"/>
    </row>
  </sheetData>
  <mergeCells count="7">
    <mergeCell ref="B52:I53"/>
    <mergeCell ref="A1:I1"/>
    <mergeCell ref="A2:I2"/>
    <mergeCell ref="B32:H32"/>
    <mergeCell ref="B33:H33"/>
    <mergeCell ref="B37:H37"/>
    <mergeCell ref="B44:H44"/>
  </mergeCells>
  <phoneticPr fontId="0" type="noConversion"/>
  <printOptions horizontalCentered="1"/>
  <pageMargins left="0.6692913385826772" right="0.39370078740157483" top="0.98425196850393704" bottom="0.98425196850393704" header="0.51181102362204722" footer="0.51181102362204722"/>
  <pageSetup scale="83" orientation="portrait" r:id="rId1"/>
  <headerFooter>
    <oddHeader>&amp;C FINANCIAL STATEMENTS: MUSINA LOCAL MUNICIPALITY</oddHeader>
    <oddFooter>&amp;RPage &amp;P</oddFooter>
  </headerFooter>
  <rowBreaks count="1" manualBreakCount="1">
    <brk id="28" max="8" man="1"/>
  </rowBreaks>
</worksheet>
</file>

<file path=xl/worksheets/sheet2.xml><?xml version="1.0" encoding="utf-8"?>
<worksheet xmlns="http://schemas.openxmlformats.org/spreadsheetml/2006/main" xmlns:r="http://schemas.openxmlformats.org/officeDocument/2006/relationships">
  <sheetPr>
    <pageSetUpPr fitToPage="1"/>
  </sheetPr>
  <dimension ref="A1:BC236"/>
  <sheetViews>
    <sheetView view="pageBreakPreview" topLeftCell="C3" zoomScale="60" zoomScaleNormal="91" workbookViewId="0">
      <pane xSplit="5" ySplit="2" topLeftCell="N159" activePane="bottomRight" state="frozen"/>
      <selection activeCell="C3" sqref="C3"/>
      <selection pane="topRight" activeCell="H3" sqref="H3"/>
      <selection pane="bottomLeft" activeCell="C5" sqref="C5"/>
      <selection pane="bottomRight" activeCell="D169" sqref="D169:U176"/>
    </sheetView>
  </sheetViews>
  <sheetFormatPr defaultRowHeight="15.75"/>
  <cols>
    <col min="1" max="1" width="1.28515625" style="629" customWidth="1"/>
    <col min="2" max="2" width="5.5703125" style="629" customWidth="1"/>
    <col min="3" max="3" width="1.140625" style="629" customWidth="1"/>
    <col min="4" max="4" width="8.7109375" style="629" customWidth="1"/>
    <col min="5" max="5" width="2.28515625" style="629" customWidth="1"/>
    <col min="6" max="6" width="9.140625" style="629" bestFit="1" customWidth="1"/>
    <col min="7" max="7" width="46.85546875" style="629" customWidth="1"/>
    <col min="8" max="8" width="20.28515625" style="630" bestFit="1" customWidth="1"/>
    <col min="9" max="9" width="18.85546875" style="667" bestFit="1" customWidth="1"/>
    <col min="10" max="10" width="14" style="667" customWidth="1"/>
    <col min="11" max="11" width="18.28515625" style="667" bestFit="1" customWidth="1"/>
    <col min="12" max="12" width="19.5703125" style="667" bestFit="1" customWidth="1"/>
    <col min="13" max="13" width="18.28515625" style="630" customWidth="1"/>
    <col min="14" max="14" width="21.28515625" style="630" bestFit="1" customWidth="1"/>
    <col min="15" max="15" width="8.28515625" style="630" hidden="1" customWidth="1"/>
    <col min="16" max="16" width="5.5703125" style="630" hidden="1" customWidth="1"/>
    <col min="17" max="17" width="9.7109375" style="630" hidden="1" customWidth="1"/>
    <col min="18" max="18" width="16.7109375" style="630" hidden="1" customWidth="1"/>
    <col min="19" max="19" width="18.85546875" style="630" hidden="1" customWidth="1"/>
    <col min="20" max="20" width="24" style="630" customWidth="1"/>
    <col min="21" max="21" width="21.28515625" style="630" bestFit="1" customWidth="1"/>
    <col min="22" max="22" width="15.5703125" style="629" hidden="1" customWidth="1"/>
    <col min="23" max="23" width="19" style="629" hidden="1" customWidth="1"/>
    <col min="24" max="24" width="18.42578125" style="630" bestFit="1" customWidth="1"/>
    <col min="25" max="25" width="22.5703125" style="630" bestFit="1" customWidth="1"/>
    <col min="26" max="26" width="21.28515625" style="630" bestFit="1" customWidth="1"/>
    <col min="27" max="29" width="9.140625" style="630" customWidth="1"/>
    <col min="30" max="31" width="17.5703125" style="630" bestFit="1" customWidth="1"/>
    <col min="32" max="55" width="9.140625" style="630" customWidth="1"/>
    <col min="56" max="16384" width="9.140625" style="629"/>
  </cols>
  <sheetData>
    <row r="1" spans="1:55" s="627" customFormat="1" ht="15">
      <c r="B1" s="627" t="s">
        <v>899</v>
      </c>
      <c r="H1" s="628"/>
      <c r="I1" s="628"/>
      <c r="J1" s="628"/>
      <c r="K1" s="628"/>
      <c r="L1" s="628"/>
      <c r="M1" s="628"/>
      <c r="N1" s="628"/>
      <c r="O1" s="628"/>
      <c r="P1" s="628"/>
      <c r="Q1" s="628"/>
      <c r="R1" s="628"/>
      <c r="S1" s="628"/>
      <c r="T1" s="628"/>
      <c r="U1" s="628"/>
      <c r="X1" s="628"/>
      <c r="Y1" s="628"/>
      <c r="Z1" s="628"/>
      <c r="AA1" s="665"/>
      <c r="AB1" s="665"/>
      <c r="AC1" s="665"/>
      <c r="AD1" s="665"/>
      <c r="AE1" s="665"/>
      <c r="AF1" s="665"/>
      <c r="AG1" s="665"/>
      <c r="AH1" s="665"/>
      <c r="AI1" s="628"/>
      <c r="AJ1" s="628"/>
      <c r="AK1" s="628"/>
      <c r="AL1" s="628"/>
      <c r="AM1" s="628"/>
      <c r="AN1" s="628"/>
      <c r="AO1" s="628"/>
      <c r="AP1" s="628"/>
      <c r="AQ1" s="628"/>
      <c r="AR1" s="628"/>
      <c r="AS1" s="628"/>
      <c r="AT1" s="628"/>
      <c r="AU1" s="628"/>
      <c r="AV1" s="628"/>
      <c r="AW1" s="628"/>
      <c r="AX1" s="628"/>
      <c r="AY1" s="628"/>
      <c r="AZ1" s="628"/>
      <c r="BA1" s="628"/>
      <c r="BB1" s="628"/>
      <c r="BC1" s="628"/>
    </row>
    <row r="2" spans="1:55">
      <c r="X2" s="630">
        <f>N18+H18</f>
        <v>-31894.93</v>
      </c>
    </row>
    <row r="3" spans="1:55" s="631" customFormat="1">
      <c r="B3" s="1309" t="s">
        <v>1179</v>
      </c>
      <c r="C3" s="1309"/>
      <c r="D3" s="1309"/>
      <c r="E3" s="1309"/>
      <c r="F3" s="1309"/>
      <c r="G3" s="631" t="s">
        <v>1180</v>
      </c>
      <c r="H3" s="632" t="s">
        <v>1181</v>
      </c>
      <c r="I3" s="632" t="s">
        <v>1482</v>
      </c>
      <c r="J3" s="632" t="s">
        <v>1488</v>
      </c>
      <c r="K3" s="632" t="s">
        <v>1490</v>
      </c>
      <c r="L3" s="632" t="s">
        <v>1482</v>
      </c>
      <c r="M3" s="632" t="s">
        <v>1484</v>
      </c>
      <c r="N3" s="632" t="s">
        <v>1488</v>
      </c>
      <c r="O3" s="632"/>
      <c r="P3" s="632"/>
      <c r="Q3" s="632"/>
      <c r="R3" s="632"/>
      <c r="S3" s="632"/>
      <c r="T3" s="632" t="s">
        <v>1489</v>
      </c>
      <c r="U3" s="632" t="s">
        <v>1484</v>
      </c>
      <c r="X3" s="632"/>
      <c r="Y3" s="632" t="s">
        <v>1486</v>
      </c>
      <c r="Z3" s="632"/>
      <c r="AA3" s="634"/>
      <c r="AB3" s="634"/>
      <c r="AC3" s="634"/>
      <c r="AD3" s="634"/>
      <c r="AE3" s="634"/>
      <c r="AF3" s="634"/>
      <c r="AG3" s="634"/>
      <c r="AH3" s="634"/>
      <c r="AI3" s="632"/>
      <c r="AJ3" s="632"/>
      <c r="AK3" s="632"/>
      <c r="AL3" s="632"/>
      <c r="AM3" s="632"/>
      <c r="AN3" s="632"/>
      <c r="AO3" s="632"/>
      <c r="AP3" s="632"/>
      <c r="AQ3" s="632"/>
      <c r="AR3" s="632"/>
      <c r="AS3" s="632"/>
      <c r="AT3" s="632"/>
      <c r="AU3" s="632"/>
      <c r="AV3" s="632"/>
      <c r="AW3" s="632"/>
      <c r="AX3" s="632"/>
      <c r="AY3" s="632"/>
      <c r="AZ3" s="632"/>
      <c r="BA3" s="632"/>
      <c r="BB3" s="632"/>
      <c r="BC3" s="632"/>
    </row>
    <row r="4" spans="1:55" s="635" customFormat="1">
      <c r="A4" s="631" t="s">
        <v>1182</v>
      </c>
      <c r="B4" s="631"/>
      <c r="C4" s="631"/>
      <c r="D4" s="631" t="s">
        <v>1183</v>
      </c>
      <c r="E4" s="631"/>
      <c r="F4" s="631" t="s">
        <v>1221</v>
      </c>
      <c r="G4" s="631"/>
      <c r="H4" s="632" t="s">
        <v>1222</v>
      </c>
      <c r="I4" s="633" t="s">
        <v>1481</v>
      </c>
      <c r="J4" s="633"/>
      <c r="K4" s="633"/>
      <c r="L4" s="633" t="s">
        <v>1483</v>
      </c>
      <c r="M4" s="633" t="s">
        <v>1485</v>
      </c>
      <c r="N4" s="634"/>
      <c r="O4" s="632" t="s">
        <v>1223</v>
      </c>
      <c r="P4" s="632" t="s">
        <v>1224</v>
      </c>
      <c r="Q4" s="634"/>
      <c r="R4" s="634"/>
      <c r="S4" s="634"/>
      <c r="T4" s="634"/>
      <c r="U4" s="1306" t="s">
        <v>1487</v>
      </c>
      <c r="X4" s="634"/>
      <c r="Y4" s="636" t="s">
        <v>1487</v>
      </c>
      <c r="Z4" s="634"/>
      <c r="AA4" s="634"/>
      <c r="AB4" s="634"/>
      <c r="AC4" s="634"/>
      <c r="AD4" s="634"/>
      <c r="AE4" s="634"/>
      <c r="AF4" s="634"/>
      <c r="AG4" s="634"/>
      <c r="AH4" s="634"/>
      <c r="AI4" s="634"/>
      <c r="AJ4" s="634"/>
      <c r="AK4" s="634"/>
      <c r="AL4" s="634"/>
      <c r="AM4" s="634"/>
      <c r="AN4" s="634"/>
      <c r="AO4" s="634"/>
      <c r="AP4" s="634"/>
      <c r="AQ4" s="634"/>
      <c r="AR4" s="634"/>
      <c r="AS4" s="634"/>
      <c r="AT4" s="634"/>
      <c r="AU4" s="634"/>
      <c r="AV4" s="634"/>
      <c r="AW4" s="634"/>
      <c r="AX4" s="634"/>
      <c r="AY4" s="634"/>
      <c r="AZ4" s="634"/>
      <c r="BA4" s="634"/>
      <c r="BB4" s="634"/>
      <c r="BC4" s="634"/>
    </row>
    <row r="5" spans="1:55">
      <c r="A5" s="629">
        <v>5</v>
      </c>
      <c r="B5" s="629" t="s">
        <v>1225</v>
      </c>
      <c r="C5" s="637" t="s">
        <v>1226</v>
      </c>
      <c r="D5" s="629" t="s">
        <v>1225</v>
      </c>
      <c r="E5" s="637" t="s">
        <v>1226</v>
      </c>
      <c r="F5" s="629" t="s">
        <v>1227</v>
      </c>
      <c r="G5" s="629" t="s">
        <v>3401</v>
      </c>
      <c r="H5" s="663">
        <v>-3871632.78</v>
      </c>
      <c r="I5" s="667">
        <v>3871632.78</v>
      </c>
      <c r="M5" s="630">
        <f>H5+I5+L5</f>
        <v>0</v>
      </c>
      <c r="N5" s="630">
        <v>0</v>
      </c>
      <c r="O5" s="630" t="s">
        <v>1228</v>
      </c>
      <c r="P5" s="630">
        <v>1</v>
      </c>
      <c r="Q5" s="630" t="s">
        <v>1229</v>
      </c>
      <c r="U5" s="630">
        <f>+M5+N5+T5</f>
        <v>0</v>
      </c>
      <c r="W5" s="639"/>
      <c r="Z5" s="630">
        <f>Y5-U5</f>
        <v>0</v>
      </c>
    </row>
    <row r="6" spans="1:55">
      <c r="A6" s="629">
        <v>5</v>
      </c>
      <c r="B6" s="629" t="s">
        <v>1225</v>
      </c>
      <c r="C6" s="637" t="s">
        <v>1226</v>
      </c>
      <c r="D6" s="629" t="s">
        <v>1225</v>
      </c>
      <c r="E6" s="637" t="s">
        <v>1226</v>
      </c>
      <c r="F6" s="629" t="s">
        <v>1230</v>
      </c>
      <c r="G6" s="629" t="s">
        <v>3403</v>
      </c>
      <c r="H6" s="663">
        <v>-5467785.0899999999</v>
      </c>
      <c r="I6" s="667">
        <v>5430147.8200000003</v>
      </c>
      <c r="L6" s="667">
        <v>0</v>
      </c>
      <c r="M6" s="644">
        <f>H6+I6+L6</f>
        <v>-37637.269999999553</v>
      </c>
      <c r="N6" s="630">
        <v>37637.269999999997</v>
      </c>
      <c r="O6" s="630" t="s">
        <v>1228</v>
      </c>
      <c r="P6" s="630">
        <v>1</v>
      </c>
      <c r="Q6" s="630" t="s">
        <v>1229</v>
      </c>
      <c r="U6" s="630">
        <f>+M6+N6+T6</f>
        <v>4.4383341446518898E-10</v>
      </c>
      <c r="W6" s="639"/>
      <c r="Y6" s="630">
        <v>0</v>
      </c>
      <c r="Z6" s="630">
        <f>Y6-U6</f>
        <v>-4.4383341446518898E-10</v>
      </c>
    </row>
    <row r="7" spans="1:55">
      <c r="B7" s="629" t="s">
        <v>1231</v>
      </c>
      <c r="C7" s="637"/>
      <c r="E7" s="637"/>
      <c r="G7" s="629" t="s">
        <v>1232</v>
      </c>
      <c r="H7" s="642">
        <f>SUM(H5:H6)</f>
        <v>-9339417.8699999992</v>
      </c>
      <c r="I7" s="668">
        <f t="shared" ref="I7:N7" si="0">SUM(I5:I6)</f>
        <v>9301780.5999999996</v>
      </c>
      <c r="J7" s="668"/>
      <c r="K7" s="668"/>
      <c r="L7" s="668">
        <f t="shared" si="0"/>
        <v>0</v>
      </c>
      <c r="M7" s="642">
        <f t="shared" si="0"/>
        <v>-37637.269999999553</v>
      </c>
      <c r="N7" s="642">
        <f t="shared" si="0"/>
        <v>37637.269999999997</v>
      </c>
      <c r="O7" s="642">
        <f t="shared" ref="O7:U7" si="1">SUM(O5:O6)</f>
        <v>0</v>
      </c>
      <c r="P7" s="642">
        <f t="shared" si="1"/>
        <v>2</v>
      </c>
      <c r="Q7" s="642">
        <f t="shared" si="1"/>
        <v>0</v>
      </c>
      <c r="R7" s="642">
        <f t="shared" si="1"/>
        <v>0</v>
      </c>
      <c r="S7" s="642">
        <f t="shared" si="1"/>
        <v>0</v>
      </c>
      <c r="T7" s="642">
        <f t="shared" si="1"/>
        <v>0</v>
      </c>
      <c r="U7" s="642">
        <f t="shared" si="1"/>
        <v>4.4383341446518898E-10</v>
      </c>
      <c r="W7" s="639"/>
      <c r="Y7" s="630">
        <v>0</v>
      </c>
      <c r="Z7" s="630">
        <f t="shared" ref="Z7:Z71" si="2">Y7-U7</f>
        <v>-4.4383341446518898E-10</v>
      </c>
    </row>
    <row r="8" spans="1:55" ht="6" customHeight="1">
      <c r="C8" s="637"/>
      <c r="E8" s="637"/>
      <c r="H8" s="638"/>
      <c r="I8" s="669"/>
      <c r="J8" s="669"/>
      <c r="K8" s="669"/>
      <c r="L8" s="669"/>
      <c r="M8" s="638"/>
      <c r="N8" s="638"/>
      <c r="U8" s="630">
        <f>SUM(H8-N8+T8)</f>
        <v>0</v>
      </c>
      <c r="W8" s="639"/>
      <c r="Z8" s="630">
        <f t="shared" si="2"/>
        <v>0</v>
      </c>
    </row>
    <row r="9" spans="1:55">
      <c r="A9" s="629">
        <v>5</v>
      </c>
      <c r="B9" s="629" t="s">
        <v>1225</v>
      </c>
      <c r="C9" s="637" t="s">
        <v>1226</v>
      </c>
      <c r="D9" s="629" t="s">
        <v>1233</v>
      </c>
      <c r="E9" s="637" t="s">
        <v>1226</v>
      </c>
      <c r="F9" s="629" t="s">
        <v>1234</v>
      </c>
      <c r="G9" s="629" t="s">
        <v>1235</v>
      </c>
      <c r="H9" s="630">
        <v>-2999.61</v>
      </c>
      <c r="I9" s="667">
        <v>2999.61</v>
      </c>
      <c r="M9" s="630">
        <f>H9+I9+L9</f>
        <v>0</v>
      </c>
      <c r="N9" s="630">
        <v>0</v>
      </c>
      <c r="O9" s="630" t="s">
        <v>1228</v>
      </c>
      <c r="P9" s="630">
        <v>1</v>
      </c>
      <c r="Q9" s="630" t="s">
        <v>1229</v>
      </c>
      <c r="T9" s="630">
        <v>0</v>
      </c>
      <c r="U9" s="630">
        <f>+M9+N9+T9</f>
        <v>0</v>
      </c>
      <c r="W9" s="639"/>
      <c r="X9" s="630">
        <f>I7+I10+I83</f>
        <v>17464247.919999998</v>
      </c>
      <c r="Y9" s="630">
        <v>0</v>
      </c>
      <c r="Z9" s="630">
        <f t="shared" si="2"/>
        <v>0</v>
      </c>
    </row>
    <row r="10" spans="1:55">
      <c r="B10" s="629" t="s">
        <v>1231</v>
      </c>
      <c r="C10" s="637"/>
      <c r="E10" s="637"/>
      <c r="G10" s="629" t="s">
        <v>1236</v>
      </c>
      <c r="H10" s="664">
        <f>SUM(H9)</f>
        <v>-2999.61</v>
      </c>
      <c r="I10" s="668">
        <f t="shared" ref="I10:T10" si="3">SUM(I9)</f>
        <v>2999.61</v>
      </c>
      <c r="J10" s="668"/>
      <c r="K10" s="668"/>
      <c r="L10" s="668">
        <f t="shared" si="3"/>
        <v>0</v>
      </c>
      <c r="M10" s="642">
        <f t="shared" si="3"/>
        <v>0</v>
      </c>
      <c r="N10" s="642">
        <f t="shared" si="3"/>
        <v>0</v>
      </c>
      <c r="O10" s="642">
        <f t="shared" si="3"/>
        <v>0</v>
      </c>
      <c r="P10" s="642">
        <f t="shared" si="3"/>
        <v>1</v>
      </c>
      <c r="Q10" s="642">
        <f t="shared" si="3"/>
        <v>0</v>
      </c>
      <c r="R10" s="642">
        <f t="shared" si="3"/>
        <v>0</v>
      </c>
      <c r="S10" s="642">
        <f t="shared" si="3"/>
        <v>0</v>
      </c>
      <c r="T10" s="642">
        <f t="shared" si="3"/>
        <v>0</v>
      </c>
      <c r="U10" s="642">
        <f>SUM(U9)</f>
        <v>0</v>
      </c>
      <c r="W10" s="639"/>
      <c r="Z10" s="630">
        <f t="shared" si="2"/>
        <v>0</v>
      </c>
    </row>
    <row r="11" spans="1:55" ht="6" customHeight="1">
      <c r="C11" s="637"/>
      <c r="E11" s="637"/>
      <c r="H11" s="638"/>
      <c r="I11" s="669"/>
      <c r="J11" s="669"/>
      <c r="K11" s="669"/>
      <c r="L11" s="669"/>
      <c r="M11" s="638"/>
      <c r="N11" s="638"/>
      <c r="U11" s="630">
        <f>SUM(H11-N11+T11)</f>
        <v>0</v>
      </c>
      <c r="W11" s="639"/>
      <c r="Z11" s="630">
        <f t="shared" si="2"/>
        <v>0</v>
      </c>
    </row>
    <row r="12" spans="1:55" ht="16.5" thickBot="1">
      <c r="B12" s="629" t="s">
        <v>1237</v>
      </c>
      <c r="C12" s="637"/>
      <c r="E12" s="637"/>
      <c r="G12" s="629" t="s">
        <v>1232</v>
      </c>
      <c r="H12" s="670">
        <f>H7+H10</f>
        <v>-9342417.4799999986</v>
      </c>
      <c r="I12" s="671">
        <f t="shared" ref="I12:T12" si="4">I7+I10</f>
        <v>9304780.209999999</v>
      </c>
      <c r="J12" s="671"/>
      <c r="K12" s="671"/>
      <c r="L12" s="671">
        <f t="shared" si="4"/>
        <v>0</v>
      </c>
      <c r="M12" s="670">
        <f t="shared" si="4"/>
        <v>-37637.269999999553</v>
      </c>
      <c r="N12" s="670">
        <f t="shared" si="4"/>
        <v>37637.269999999997</v>
      </c>
      <c r="O12" s="670">
        <f t="shared" si="4"/>
        <v>0</v>
      </c>
      <c r="P12" s="670">
        <f t="shared" si="4"/>
        <v>3</v>
      </c>
      <c r="Q12" s="670">
        <f t="shared" si="4"/>
        <v>0</v>
      </c>
      <c r="R12" s="670">
        <f t="shared" si="4"/>
        <v>0</v>
      </c>
      <c r="S12" s="670">
        <f t="shared" si="4"/>
        <v>0</v>
      </c>
      <c r="T12" s="670">
        <f t="shared" si="4"/>
        <v>0</v>
      </c>
      <c r="U12" s="670">
        <f>U7+U10</f>
        <v>4.4383341446518898E-10</v>
      </c>
      <c r="W12" s="639"/>
      <c r="Z12" s="630">
        <f t="shared" si="2"/>
        <v>-4.4383341446518898E-10</v>
      </c>
    </row>
    <row r="13" spans="1:55" ht="6" customHeight="1" thickTop="1">
      <c r="C13" s="637"/>
      <c r="E13" s="637"/>
      <c r="H13" s="638"/>
      <c r="I13" s="669"/>
      <c r="J13" s="669"/>
      <c r="K13" s="669"/>
      <c r="L13" s="669"/>
      <c r="M13" s="638"/>
      <c r="N13" s="638"/>
      <c r="U13" s="630">
        <f>SUM(H13-N13+T13)</f>
        <v>0</v>
      </c>
      <c r="W13" s="639"/>
      <c r="Z13" s="630">
        <f t="shared" si="2"/>
        <v>0</v>
      </c>
    </row>
    <row r="14" spans="1:55">
      <c r="A14" s="629">
        <v>5</v>
      </c>
      <c r="B14" s="629" t="s">
        <v>1238</v>
      </c>
      <c r="C14" s="637" t="s">
        <v>1226</v>
      </c>
      <c r="D14" s="629" t="s">
        <v>1238</v>
      </c>
      <c r="E14" s="637" t="s">
        <v>1226</v>
      </c>
      <c r="F14" s="629" t="s">
        <v>1239</v>
      </c>
      <c r="G14" s="629" t="s">
        <v>1240</v>
      </c>
      <c r="H14" s="630">
        <v>-49811.3</v>
      </c>
      <c r="I14" s="667">
        <v>49811.3</v>
      </c>
      <c r="N14" s="630">
        <v>0</v>
      </c>
      <c r="O14" s="630" t="s">
        <v>1228</v>
      </c>
      <c r="P14" s="630">
        <v>2</v>
      </c>
      <c r="Q14" s="630" t="s">
        <v>1241</v>
      </c>
      <c r="U14" s="630">
        <f t="shared" ref="U14:U25" si="5">+M14+N14+T14</f>
        <v>0</v>
      </c>
      <c r="W14" s="639"/>
      <c r="Z14" s="630">
        <f t="shared" si="2"/>
        <v>0</v>
      </c>
    </row>
    <row r="15" spans="1:55">
      <c r="A15" s="629">
        <v>5</v>
      </c>
      <c r="B15" s="629" t="s">
        <v>1238</v>
      </c>
      <c r="C15" s="637" t="s">
        <v>1226</v>
      </c>
      <c r="D15" s="629" t="s">
        <v>1238</v>
      </c>
      <c r="E15" s="637" t="s">
        <v>1226</v>
      </c>
      <c r="F15" s="629" t="s">
        <v>1242</v>
      </c>
      <c r="G15" s="629" t="s">
        <v>1243</v>
      </c>
      <c r="H15" s="630">
        <v>-2798963.42</v>
      </c>
      <c r="L15" s="667">
        <v>1562266.36</v>
      </c>
      <c r="M15" s="644">
        <f t="shared" ref="M15:M26" si="6">SUM(H15:L15)</f>
        <v>-1236697.0599999998</v>
      </c>
      <c r="N15" s="630">
        <v>1236697.06</v>
      </c>
      <c r="O15" s="630" t="s">
        <v>1228</v>
      </c>
      <c r="P15" s="630">
        <v>21</v>
      </c>
      <c r="Q15" s="630" t="s">
        <v>1244</v>
      </c>
      <c r="U15" s="630">
        <f t="shared" si="5"/>
        <v>2.3283064365386963E-10</v>
      </c>
      <c r="W15" s="639"/>
      <c r="Y15" s="630">
        <v>0</v>
      </c>
      <c r="Z15" s="630">
        <f t="shared" si="2"/>
        <v>-2.3283064365386963E-10</v>
      </c>
    </row>
    <row r="16" spans="1:55">
      <c r="A16" s="629">
        <v>5</v>
      </c>
      <c r="B16" s="629" t="s">
        <v>1238</v>
      </c>
      <c r="C16" s="637" t="s">
        <v>1226</v>
      </c>
      <c r="D16" s="629" t="s">
        <v>1238</v>
      </c>
      <c r="E16" s="637" t="s">
        <v>1226</v>
      </c>
      <c r="F16" s="629" t="s">
        <v>1245</v>
      </c>
      <c r="G16" s="629" t="s">
        <v>1246</v>
      </c>
      <c r="H16" s="630">
        <v>-7477.81</v>
      </c>
      <c r="I16" s="667">
        <v>7426.34</v>
      </c>
      <c r="J16" s="667">
        <v>0</v>
      </c>
      <c r="K16" s="667">
        <v>0</v>
      </c>
      <c r="L16" s="667">
        <v>0</v>
      </c>
      <c r="M16" s="644">
        <f t="shared" si="6"/>
        <v>-51.470000000000255</v>
      </c>
      <c r="N16" s="630">
        <v>51.47</v>
      </c>
      <c r="O16" s="630" t="s">
        <v>1228</v>
      </c>
      <c r="P16" s="630">
        <v>2</v>
      </c>
      <c r="Q16" s="630" t="s">
        <v>1241</v>
      </c>
      <c r="U16" s="630">
        <f t="shared" si="5"/>
        <v>-2.5579538487363607E-13</v>
      </c>
      <c r="W16" s="639"/>
      <c r="Y16" s="630">
        <v>0</v>
      </c>
      <c r="Z16" s="630">
        <f t="shared" si="2"/>
        <v>2.5579538487363607E-13</v>
      </c>
    </row>
    <row r="17" spans="1:26">
      <c r="A17" s="629">
        <v>5</v>
      </c>
      <c r="B17" s="629" t="s">
        <v>1238</v>
      </c>
      <c r="C17" s="637" t="s">
        <v>1226</v>
      </c>
      <c r="D17" s="629" t="s">
        <v>1238</v>
      </c>
      <c r="E17" s="637" t="s">
        <v>1226</v>
      </c>
      <c r="F17" s="629" t="s">
        <v>1247</v>
      </c>
      <c r="G17" s="629" t="s">
        <v>1248</v>
      </c>
      <c r="H17" s="630">
        <v>-0.41</v>
      </c>
      <c r="I17" s="667">
        <v>0.41</v>
      </c>
      <c r="M17" s="630">
        <f>SUM(H17:L17)</f>
        <v>0</v>
      </c>
      <c r="O17" s="630" t="s">
        <v>1228</v>
      </c>
      <c r="P17" s="630">
        <v>2</v>
      </c>
      <c r="T17" s="630">
        <v>0</v>
      </c>
      <c r="U17" s="630">
        <f t="shared" si="5"/>
        <v>0</v>
      </c>
      <c r="W17" s="639"/>
      <c r="Y17" s="630">
        <v>0</v>
      </c>
      <c r="Z17" s="630">
        <f t="shared" si="2"/>
        <v>0</v>
      </c>
    </row>
    <row r="18" spans="1:26">
      <c r="A18" s="629">
        <v>5</v>
      </c>
      <c r="B18" s="629" t="s">
        <v>1238</v>
      </c>
      <c r="C18" s="637" t="s">
        <v>1226</v>
      </c>
      <c r="D18" s="629" t="s">
        <v>1238</v>
      </c>
      <c r="E18" s="637" t="s">
        <v>1226</v>
      </c>
      <c r="F18" s="629" t="s">
        <v>1249</v>
      </c>
      <c r="G18" s="629" t="s">
        <v>3404</v>
      </c>
      <c r="H18" s="630">
        <v>-31894.93</v>
      </c>
      <c r="L18" s="667">
        <v>31894.93</v>
      </c>
      <c r="M18" s="630">
        <f>SUM(H18:L18)</f>
        <v>0</v>
      </c>
      <c r="O18" s="630" t="s">
        <v>1228</v>
      </c>
      <c r="P18" s="630">
        <v>2</v>
      </c>
      <c r="Q18" s="630" t="s">
        <v>1241</v>
      </c>
      <c r="T18" s="630">
        <v>0</v>
      </c>
      <c r="U18" s="630">
        <f t="shared" si="5"/>
        <v>0</v>
      </c>
      <c r="W18" s="639"/>
      <c r="Y18" s="630">
        <v>0</v>
      </c>
      <c r="Z18" s="630">
        <f t="shared" si="2"/>
        <v>0</v>
      </c>
    </row>
    <row r="19" spans="1:26">
      <c r="A19" s="629">
        <v>5</v>
      </c>
      <c r="B19" s="629" t="s">
        <v>1238</v>
      </c>
      <c r="C19" s="637" t="s">
        <v>1226</v>
      </c>
      <c r="D19" s="629" t="s">
        <v>1238</v>
      </c>
      <c r="E19" s="637" t="s">
        <v>1226</v>
      </c>
      <c r="F19" s="629" t="s">
        <v>1250</v>
      </c>
      <c r="G19" s="629" t="s">
        <v>1251</v>
      </c>
      <c r="H19" s="630">
        <v>-56727.040000000001</v>
      </c>
      <c r="I19" s="667">
        <v>67936.56</v>
      </c>
      <c r="L19" s="667">
        <v>0</v>
      </c>
      <c r="M19" s="644">
        <f t="shared" si="6"/>
        <v>11209.519999999997</v>
      </c>
      <c r="N19" s="630">
        <v>0</v>
      </c>
      <c r="O19" s="630" t="s">
        <v>1228</v>
      </c>
      <c r="P19" s="630">
        <v>2</v>
      </c>
      <c r="Q19" s="630" t="s">
        <v>1241</v>
      </c>
      <c r="T19" s="630">
        <v>-11209.52</v>
      </c>
      <c r="U19" s="630">
        <f t="shared" si="5"/>
        <v>0</v>
      </c>
      <c r="W19" s="639"/>
      <c r="X19" s="630">
        <f>U20+U21+U22</f>
        <v>-22521745.210000001</v>
      </c>
      <c r="Y19" s="630">
        <v>0</v>
      </c>
      <c r="Z19" s="630">
        <f t="shared" si="2"/>
        <v>0</v>
      </c>
    </row>
    <row r="20" spans="1:26">
      <c r="C20" s="637"/>
      <c r="D20" s="629">
        <v>520</v>
      </c>
      <c r="E20" s="637"/>
      <c r="F20" s="640">
        <v>5411</v>
      </c>
      <c r="G20" s="629" t="s">
        <v>912</v>
      </c>
      <c r="H20" s="630">
        <v>0</v>
      </c>
      <c r="I20" s="667">
        <v>-7028083.6299999999</v>
      </c>
      <c r="L20" s="667">
        <f>-1477914.25+1317374.65+514257.05-1482933.76-353717.45</f>
        <v>-1482933.76</v>
      </c>
      <c r="M20" s="630">
        <f>SUM(H20:L20)</f>
        <v>-8511017.3900000006</v>
      </c>
      <c r="T20" s="630">
        <f>-10001486.21+7028083.63+1482933.76</f>
        <v>-1490468.820000001</v>
      </c>
      <c r="U20" s="630">
        <f>+M20+N20+T20</f>
        <v>-10001486.210000001</v>
      </c>
      <c r="W20" s="639"/>
      <c r="X20" s="630">
        <f>10001485.96+U20</f>
        <v>-0.25</v>
      </c>
      <c r="Y20" s="630">
        <v>-10337629.58</v>
      </c>
      <c r="Z20" s="630">
        <f t="shared" si="2"/>
        <v>-336143.36999999918</v>
      </c>
    </row>
    <row r="21" spans="1:26">
      <c r="C21" s="637"/>
      <c r="D21" s="629">
        <v>520</v>
      </c>
      <c r="E21" s="637"/>
      <c r="F21" s="640">
        <v>5412</v>
      </c>
      <c r="G21" s="629" t="s">
        <v>913</v>
      </c>
      <c r="H21" s="630">
        <v>0</v>
      </c>
      <c r="I21" s="667">
        <v>-5200229.03</v>
      </c>
      <c r="L21" s="667">
        <f>-453941.7-3847946.03-909434+4337887.73</f>
        <v>-873433.99999999907</v>
      </c>
      <c r="M21" s="630">
        <f>SUM(H21:L21)</f>
        <v>-6073663.0299999993</v>
      </c>
      <c r="T21" s="630">
        <v>-881682.57</v>
      </c>
      <c r="U21" s="630">
        <f t="shared" si="5"/>
        <v>-6955345.5999999996</v>
      </c>
      <c r="W21" s="639"/>
      <c r="X21" s="630">
        <f>-6955345.6-U21</f>
        <v>0</v>
      </c>
      <c r="Y21" s="630">
        <v>-2065723.4</v>
      </c>
      <c r="Z21" s="630">
        <f t="shared" si="2"/>
        <v>4889622.1999999993</v>
      </c>
    </row>
    <row r="22" spans="1:26">
      <c r="C22" s="637"/>
      <c r="D22" s="629">
        <v>520</v>
      </c>
      <c r="E22" s="637"/>
      <c r="F22" s="640">
        <v>5413</v>
      </c>
      <c r="G22" s="629" t="s">
        <v>914</v>
      </c>
      <c r="H22" s="630">
        <v>0</v>
      </c>
      <c r="I22" s="667">
        <v>-3505009.29</v>
      </c>
      <c r="L22" s="667">
        <f>-1399653.13+2190277.53+3157545.88-939141.32-3948170.28</f>
        <v>-939141.31999999983</v>
      </c>
      <c r="M22" s="630">
        <f>SUM(H22:L22)</f>
        <v>-4444150.6099999994</v>
      </c>
      <c r="N22" s="630">
        <v>0</v>
      </c>
      <c r="T22" s="630">
        <f>-5564913.4+3505009.29+939141.32</f>
        <v>-1120762.7900000005</v>
      </c>
      <c r="U22" s="630">
        <f t="shared" si="5"/>
        <v>-5564913.4000000004</v>
      </c>
      <c r="V22" s="641">
        <f>SUM(U20:U22)</f>
        <v>-22521745.210000001</v>
      </c>
      <c r="W22" s="639"/>
      <c r="X22" s="630">
        <f>+U23+X23</f>
        <v>0</v>
      </c>
      <c r="Y22" s="630">
        <v>-10442392.23</v>
      </c>
      <c r="Z22" s="630">
        <f t="shared" si="2"/>
        <v>-4877478.83</v>
      </c>
    </row>
    <row r="23" spans="1:26">
      <c r="C23" s="637"/>
      <c r="D23" s="629">
        <v>520</v>
      </c>
      <c r="E23" s="637"/>
      <c r="F23" s="640">
        <v>5414</v>
      </c>
      <c r="G23" s="629" t="s">
        <v>3138</v>
      </c>
      <c r="H23" s="630">
        <v>0</v>
      </c>
      <c r="I23" s="667">
        <v>-21252.74</v>
      </c>
      <c r="L23" s="667">
        <f>-3429019.23+11075.47</f>
        <v>-3417943.76</v>
      </c>
      <c r="M23" s="663">
        <f t="shared" si="6"/>
        <v>-3439196.5</v>
      </c>
      <c r="N23" s="630">
        <f>26687.76+412.05-320</f>
        <v>26779.809999999998</v>
      </c>
      <c r="T23" s="630">
        <v>-2130502.44</v>
      </c>
      <c r="U23" s="630">
        <f t="shared" si="5"/>
        <v>-5542919.1299999999</v>
      </c>
      <c r="W23" s="639"/>
      <c r="X23" s="630">
        <v>5542919.1299999999</v>
      </c>
      <c r="Y23" s="630">
        <v>-5542919.1299999999</v>
      </c>
      <c r="Z23" s="630">
        <f t="shared" si="2"/>
        <v>0</v>
      </c>
    </row>
    <row r="24" spans="1:26">
      <c r="C24" s="637"/>
      <c r="D24" s="629">
        <v>520</v>
      </c>
      <c r="E24" s="637"/>
      <c r="F24" s="640">
        <v>5415</v>
      </c>
      <c r="G24" s="629" t="s">
        <v>2804</v>
      </c>
      <c r="H24" s="630">
        <v>0</v>
      </c>
      <c r="I24" s="667">
        <v>-959.99</v>
      </c>
      <c r="L24" s="667">
        <v>320</v>
      </c>
      <c r="M24" s="663">
        <f t="shared" si="6"/>
        <v>-639.99</v>
      </c>
      <c r="N24" s="630">
        <f>320</f>
        <v>320</v>
      </c>
      <c r="T24" s="630">
        <v>0</v>
      </c>
      <c r="U24" s="630">
        <f t="shared" si="5"/>
        <v>-319.99</v>
      </c>
      <c r="W24" s="639"/>
      <c r="X24" s="630">
        <v>319.99</v>
      </c>
      <c r="Y24" s="630">
        <v>-319.99</v>
      </c>
      <c r="Z24" s="630">
        <f t="shared" si="2"/>
        <v>0</v>
      </c>
    </row>
    <row r="25" spans="1:26">
      <c r="A25" s="629">
        <v>5</v>
      </c>
      <c r="B25" s="629" t="s">
        <v>1238</v>
      </c>
      <c r="C25" s="637" t="s">
        <v>1226</v>
      </c>
      <c r="D25" s="629" t="s">
        <v>1238</v>
      </c>
      <c r="E25" s="637" t="s">
        <v>1226</v>
      </c>
      <c r="F25" s="629" t="s">
        <v>1252</v>
      </c>
      <c r="G25" s="629" t="s">
        <v>1253</v>
      </c>
      <c r="H25" s="630">
        <v>-875.37</v>
      </c>
      <c r="I25" s="667">
        <v>875.37</v>
      </c>
      <c r="M25" s="630">
        <f t="shared" si="6"/>
        <v>0</v>
      </c>
      <c r="N25" s="630">
        <v>0</v>
      </c>
      <c r="O25" s="630" t="s">
        <v>1228</v>
      </c>
      <c r="P25" s="630">
        <v>2</v>
      </c>
      <c r="Q25" s="630" t="s">
        <v>1241</v>
      </c>
      <c r="U25" s="630">
        <f t="shared" si="5"/>
        <v>0</v>
      </c>
      <c r="W25" s="639"/>
      <c r="X25" s="630">
        <f>+U24+X24</f>
        <v>0</v>
      </c>
      <c r="Y25" s="630">
        <v>0</v>
      </c>
      <c r="Z25" s="630">
        <f t="shared" si="2"/>
        <v>0</v>
      </c>
    </row>
    <row r="26" spans="1:26">
      <c r="D26" s="629">
        <v>520</v>
      </c>
      <c r="F26" s="629">
        <v>5417</v>
      </c>
      <c r="G26" s="629" t="s">
        <v>2810</v>
      </c>
      <c r="H26" s="630">
        <v>0</v>
      </c>
      <c r="M26" s="630">
        <f t="shared" si="6"/>
        <v>0</v>
      </c>
      <c r="N26" s="630">
        <v>0</v>
      </c>
      <c r="T26" s="630">
        <v>-82528503</v>
      </c>
      <c r="U26" s="630">
        <f>+M26+N26+T26</f>
        <v>-82528503</v>
      </c>
      <c r="W26" s="639"/>
      <c r="Y26" s="630">
        <v>-82528503</v>
      </c>
      <c r="Z26" s="630">
        <f t="shared" si="2"/>
        <v>0</v>
      </c>
    </row>
    <row r="27" spans="1:26">
      <c r="B27" s="629" t="s">
        <v>1231</v>
      </c>
      <c r="C27" s="637"/>
      <c r="E27" s="637"/>
      <c r="G27" s="629" t="s">
        <v>690</v>
      </c>
      <c r="H27" s="642">
        <f>SUM(H14:H26)</f>
        <v>-2945750.2800000003</v>
      </c>
      <c r="I27" s="668">
        <f>SUM(I14:I26)</f>
        <v>-15629484.700000001</v>
      </c>
      <c r="J27" s="668"/>
      <c r="K27" s="668"/>
      <c r="L27" s="668">
        <f>SUM(L14:L26)</f>
        <v>-5118971.5499999989</v>
      </c>
      <c r="M27" s="642">
        <f>SUM(M14:M26)</f>
        <v>-23694206.529999997</v>
      </c>
      <c r="N27" s="642">
        <f t="shared" ref="N27:U27" si="7">SUM(N14:N26)</f>
        <v>1263848.3400000001</v>
      </c>
      <c r="O27" s="642">
        <f t="shared" si="7"/>
        <v>0</v>
      </c>
      <c r="P27" s="642">
        <f t="shared" si="7"/>
        <v>33</v>
      </c>
      <c r="Q27" s="642">
        <f t="shared" si="7"/>
        <v>0</v>
      </c>
      <c r="R27" s="642">
        <f t="shared" si="7"/>
        <v>0</v>
      </c>
      <c r="S27" s="642">
        <f t="shared" si="7"/>
        <v>0</v>
      </c>
      <c r="T27" s="642">
        <f t="shared" si="7"/>
        <v>-88163129.140000001</v>
      </c>
      <c r="U27" s="642">
        <f t="shared" si="7"/>
        <v>-110593487.33</v>
      </c>
      <c r="W27" s="639"/>
      <c r="Z27" s="630">
        <f t="shared" si="2"/>
        <v>110593487.33</v>
      </c>
    </row>
    <row r="28" spans="1:26" ht="6" customHeight="1">
      <c r="C28" s="637"/>
      <c r="E28" s="637"/>
      <c r="W28" s="639"/>
      <c r="Z28" s="630">
        <f t="shared" si="2"/>
        <v>0</v>
      </c>
    </row>
    <row r="29" spans="1:26">
      <c r="A29" s="629">
        <v>5</v>
      </c>
      <c r="B29" s="629" t="s">
        <v>1238</v>
      </c>
      <c r="C29" s="637" t="s">
        <v>1226</v>
      </c>
      <c r="D29" s="629" t="s">
        <v>1254</v>
      </c>
      <c r="E29" s="637" t="s">
        <v>1226</v>
      </c>
      <c r="F29" s="629" t="s">
        <v>1255</v>
      </c>
      <c r="G29" s="629" t="s">
        <v>1256</v>
      </c>
      <c r="H29" s="630">
        <v>-5887481.4100000001</v>
      </c>
      <c r="M29" s="663">
        <f>H29+I29+L29</f>
        <v>-5887481.4100000001</v>
      </c>
      <c r="N29" s="630">
        <v>318925.52</v>
      </c>
      <c r="O29" s="630" t="s">
        <v>1228</v>
      </c>
      <c r="P29" s="630">
        <v>9</v>
      </c>
      <c r="Q29" s="630" t="s">
        <v>1257</v>
      </c>
      <c r="T29" s="630">
        <v>-82519.28</v>
      </c>
      <c r="U29" s="630">
        <f>+M29+N29+T29</f>
        <v>-5651075.1700000009</v>
      </c>
      <c r="W29" s="639"/>
      <c r="Y29" s="630">
        <v>-5651075.1699999999</v>
      </c>
      <c r="Z29" s="630">
        <f t="shared" si="2"/>
        <v>0</v>
      </c>
    </row>
    <row r="30" spans="1:26">
      <c r="C30" s="637"/>
      <c r="D30" s="629">
        <v>520</v>
      </c>
      <c r="E30" s="637"/>
      <c r="F30" s="629">
        <v>5404</v>
      </c>
      <c r="G30" s="629" t="s">
        <v>2805</v>
      </c>
      <c r="J30" s="667">
        <v>0</v>
      </c>
      <c r="K30" s="672">
        <v>-31894.93</v>
      </c>
      <c r="L30" s="667">
        <v>0</v>
      </c>
      <c r="M30" s="644">
        <f>SUM(H30:L30)</f>
        <v>-31894.93</v>
      </c>
      <c r="T30" s="630">
        <v>-201980.16</v>
      </c>
      <c r="U30" s="630">
        <f>+M30+N30+T30</f>
        <v>-233875.09</v>
      </c>
      <c r="W30" s="639"/>
      <c r="Y30" s="630">
        <v>-233875.09</v>
      </c>
      <c r="Z30" s="630">
        <f t="shared" si="2"/>
        <v>0</v>
      </c>
    </row>
    <row r="31" spans="1:26">
      <c r="B31" s="629" t="s">
        <v>1231</v>
      </c>
      <c r="C31" s="637"/>
      <c r="E31" s="637"/>
      <c r="G31" s="629" t="s">
        <v>1258</v>
      </c>
      <c r="H31" s="642">
        <f t="shared" ref="H31:T31" si="8">+H27+H29+H30</f>
        <v>-8833231.6900000013</v>
      </c>
      <c r="I31" s="668">
        <f t="shared" si="8"/>
        <v>-15629484.700000001</v>
      </c>
      <c r="J31" s="668">
        <f t="shared" si="8"/>
        <v>0</v>
      </c>
      <c r="K31" s="668">
        <f t="shared" si="8"/>
        <v>-31894.93</v>
      </c>
      <c r="L31" s="668">
        <f t="shared" si="8"/>
        <v>-5118971.5499999989</v>
      </c>
      <c r="M31" s="642">
        <f t="shared" si="8"/>
        <v>-29613582.869999997</v>
      </c>
      <c r="N31" s="642">
        <f t="shared" si="8"/>
        <v>1582773.86</v>
      </c>
      <c r="O31" s="642" t="e">
        <f t="shared" si="8"/>
        <v>#VALUE!</v>
      </c>
      <c r="P31" s="642">
        <f t="shared" si="8"/>
        <v>42</v>
      </c>
      <c r="Q31" s="642" t="e">
        <f t="shared" si="8"/>
        <v>#VALUE!</v>
      </c>
      <c r="R31" s="642">
        <f t="shared" si="8"/>
        <v>0</v>
      </c>
      <c r="S31" s="642">
        <f t="shared" si="8"/>
        <v>0</v>
      </c>
      <c r="T31" s="642">
        <f t="shared" si="8"/>
        <v>-88447628.579999998</v>
      </c>
      <c r="U31" s="642">
        <f>+U27+U29+U30</f>
        <v>-116478437.59</v>
      </c>
      <c r="W31" s="639"/>
      <c r="Z31" s="630">
        <f t="shared" si="2"/>
        <v>116478437.59</v>
      </c>
    </row>
    <row r="32" spans="1:26" ht="16.5" customHeight="1">
      <c r="C32" s="637"/>
      <c r="E32" s="637"/>
      <c r="H32" s="638"/>
      <c r="I32" s="669"/>
      <c r="J32" s="669"/>
      <c r="K32" s="669"/>
      <c r="L32" s="669"/>
      <c r="M32" s="638"/>
      <c r="N32" s="638"/>
      <c r="V32" s="643"/>
      <c r="W32" s="639"/>
      <c r="Z32" s="630">
        <f t="shared" si="2"/>
        <v>0</v>
      </c>
    </row>
    <row r="33" spans="1:30">
      <c r="A33" s="629">
        <v>5</v>
      </c>
      <c r="B33" s="629" t="s">
        <v>1254</v>
      </c>
      <c r="C33" s="637" t="s">
        <v>1226</v>
      </c>
      <c r="D33" s="629" t="s">
        <v>1254</v>
      </c>
      <c r="E33" s="637" t="s">
        <v>1226</v>
      </c>
      <c r="F33" s="629" t="s">
        <v>1259</v>
      </c>
      <c r="G33" s="629" t="s">
        <v>1260</v>
      </c>
      <c r="H33" s="630">
        <v>0</v>
      </c>
      <c r="N33" s="630">
        <v>0</v>
      </c>
      <c r="O33" s="630" t="s">
        <v>1228</v>
      </c>
      <c r="P33" s="630">
        <v>21</v>
      </c>
      <c r="Q33" s="630" t="s">
        <v>1244</v>
      </c>
      <c r="U33" s="630">
        <f>+M33+N33+T33</f>
        <v>0</v>
      </c>
      <c r="W33" s="639"/>
      <c r="Z33" s="630">
        <f t="shared" si="2"/>
        <v>0</v>
      </c>
    </row>
    <row r="34" spans="1:30">
      <c r="B34" s="629" t="s">
        <v>1231</v>
      </c>
      <c r="C34" s="637"/>
      <c r="E34" s="637"/>
      <c r="G34" s="629" t="s">
        <v>1186</v>
      </c>
      <c r="H34" s="642">
        <f>SUM(H33)</f>
        <v>0</v>
      </c>
      <c r="I34" s="668">
        <f t="shared" ref="I34:U34" si="9">SUM(I33)</f>
        <v>0</v>
      </c>
      <c r="J34" s="668"/>
      <c r="K34" s="668"/>
      <c r="L34" s="668">
        <f t="shared" si="9"/>
        <v>0</v>
      </c>
      <c r="M34" s="642">
        <f t="shared" si="9"/>
        <v>0</v>
      </c>
      <c r="N34" s="642">
        <f t="shared" si="9"/>
        <v>0</v>
      </c>
      <c r="O34" s="642">
        <f t="shared" si="9"/>
        <v>0</v>
      </c>
      <c r="P34" s="642">
        <f t="shared" si="9"/>
        <v>21</v>
      </c>
      <c r="Q34" s="642">
        <f t="shared" si="9"/>
        <v>0</v>
      </c>
      <c r="R34" s="642">
        <f t="shared" si="9"/>
        <v>0</v>
      </c>
      <c r="S34" s="642">
        <f t="shared" si="9"/>
        <v>0</v>
      </c>
      <c r="T34" s="642">
        <f t="shared" si="9"/>
        <v>0</v>
      </c>
      <c r="U34" s="642">
        <f t="shared" si="9"/>
        <v>0</v>
      </c>
      <c r="W34" s="639"/>
      <c r="Y34" s="630">
        <v>0</v>
      </c>
      <c r="Z34" s="630">
        <f t="shared" si="2"/>
        <v>0</v>
      </c>
    </row>
    <row r="35" spans="1:30" ht="6" customHeight="1">
      <c r="C35" s="637"/>
      <c r="E35" s="637"/>
      <c r="H35" s="638"/>
      <c r="I35" s="669"/>
      <c r="J35" s="669"/>
      <c r="K35" s="669"/>
      <c r="L35" s="669"/>
      <c r="M35" s="638"/>
      <c r="N35" s="638"/>
      <c r="O35" s="638"/>
      <c r="P35" s="638"/>
      <c r="Q35" s="638"/>
      <c r="R35" s="638"/>
      <c r="S35" s="638"/>
      <c r="T35" s="638"/>
      <c r="U35" s="638"/>
      <c r="W35" s="639"/>
      <c r="Z35" s="630">
        <f t="shared" si="2"/>
        <v>0</v>
      </c>
    </row>
    <row r="36" spans="1:30" ht="14.25" customHeight="1">
      <c r="B36" s="629" t="s">
        <v>1237</v>
      </c>
      <c r="C36" s="637"/>
      <c r="E36" s="637"/>
      <c r="G36" s="629" t="s">
        <v>1186</v>
      </c>
      <c r="H36" s="642">
        <f>H34</f>
        <v>0</v>
      </c>
      <c r="I36" s="668">
        <f t="shared" ref="I36:U36" si="10">I34</f>
        <v>0</v>
      </c>
      <c r="J36" s="668"/>
      <c r="K36" s="668"/>
      <c r="L36" s="668">
        <f t="shared" si="10"/>
        <v>0</v>
      </c>
      <c r="M36" s="642">
        <f t="shared" si="10"/>
        <v>0</v>
      </c>
      <c r="N36" s="642">
        <f t="shared" si="10"/>
        <v>0</v>
      </c>
      <c r="O36" s="642">
        <f t="shared" si="10"/>
        <v>0</v>
      </c>
      <c r="P36" s="642">
        <f t="shared" si="10"/>
        <v>21</v>
      </c>
      <c r="Q36" s="642">
        <f t="shared" si="10"/>
        <v>0</v>
      </c>
      <c r="R36" s="642">
        <f t="shared" si="10"/>
        <v>0</v>
      </c>
      <c r="S36" s="642">
        <f t="shared" si="10"/>
        <v>0</v>
      </c>
      <c r="T36" s="642">
        <f t="shared" si="10"/>
        <v>0</v>
      </c>
      <c r="U36" s="642">
        <f t="shared" si="10"/>
        <v>0</v>
      </c>
      <c r="W36" s="639"/>
      <c r="Z36" s="630">
        <f t="shared" si="2"/>
        <v>0</v>
      </c>
      <c r="AD36" s="630">
        <v>15985321.949999999</v>
      </c>
    </row>
    <row r="37" spans="1:30">
      <c r="C37" s="637"/>
      <c r="E37" s="637"/>
      <c r="H37" s="638"/>
      <c r="I37" s="669"/>
      <c r="J37" s="669"/>
      <c r="K37" s="669"/>
      <c r="L37" s="669"/>
      <c r="M37" s="638"/>
      <c r="N37" s="638"/>
      <c r="S37" s="630">
        <f>S38+'[1]Income Statement'!O22</f>
        <v>67190555.129999995</v>
      </c>
      <c r="W37" s="639"/>
      <c r="Y37" s="630">
        <f>M235</f>
        <v>0.21999999694526196</v>
      </c>
      <c r="Z37" s="630">
        <f t="shared" si="2"/>
        <v>0.21999999694526196</v>
      </c>
      <c r="AD37" s="630">
        <v>3585707.48</v>
      </c>
    </row>
    <row r="38" spans="1:30">
      <c r="A38" s="629">
        <v>5</v>
      </c>
      <c r="B38" s="629" t="s">
        <v>1261</v>
      </c>
      <c r="C38" s="637" t="s">
        <v>1226</v>
      </c>
      <c r="D38" s="629" t="s">
        <v>1261</v>
      </c>
      <c r="E38" s="637" t="s">
        <v>1226</v>
      </c>
      <c r="F38" s="629" t="s">
        <v>1262</v>
      </c>
      <c r="G38" s="629" t="s">
        <v>1263</v>
      </c>
      <c r="H38" s="630">
        <v>26914053.260000002</v>
      </c>
      <c r="I38" s="667">
        <f>930000-252000-36000</f>
        <v>642000</v>
      </c>
      <c r="J38" s="667">
        <v>0</v>
      </c>
      <c r="K38" s="667">
        <v>-40027243.560000002</v>
      </c>
      <c r="L38" s="667">
        <v>0</v>
      </c>
      <c r="M38" s="630">
        <f>+H38+J38+K38+I38+L38</f>
        <v>-12471190.300000001</v>
      </c>
      <c r="N38" s="630">
        <f>93736782.9+199736.7</f>
        <v>93936519.600000009</v>
      </c>
      <c r="O38" s="630" t="s">
        <v>1228</v>
      </c>
      <c r="P38" s="630">
        <v>15</v>
      </c>
      <c r="Q38" s="630">
        <f>N38+N40</f>
        <v>100036485.36000001</v>
      </c>
      <c r="S38" s="630">
        <f>N38-H38</f>
        <v>67022466.340000004</v>
      </c>
      <c r="T38" s="630">
        <f>-100252460.1-36000.25-2313593.52-240901.11-834954.6</f>
        <v>-103677909.57999998</v>
      </c>
      <c r="U38" s="630">
        <f>M38+N38+T38</f>
        <v>-22212580.279999971</v>
      </c>
      <c r="W38" s="639">
        <f>202234394.37-139357178.26</f>
        <v>62877216.110000014</v>
      </c>
      <c r="X38" s="630">
        <f>M38+N38+T38-U38</f>
        <v>0</v>
      </c>
      <c r="Y38" s="630">
        <v>-19817213.510000002</v>
      </c>
      <c r="Z38" s="630">
        <f t="shared" si="2"/>
        <v>2395366.7699999698</v>
      </c>
      <c r="AD38" s="630">
        <v>-42707470.280000001</v>
      </c>
    </row>
    <row r="39" spans="1:30">
      <c r="C39" s="637"/>
      <c r="E39" s="637"/>
      <c r="M39" s="630">
        <f>H39+I39+J39+K39</f>
        <v>0</v>
      </c>
      <c r="U39" s="630">
        <f>M39+N39+T39</f>
        <v>0</v>
      </c>
      <c r="W39" s="639"/>
      <c r="Y39" s="630">
        <f>+Y38-U38</f>
        <v>2395366.7699999698</v>
      </c>
    </row>
    <row r="40" spans="1:30">
      <c r="A40" s="629">
        <v>5</v>
      </c>
      <c r="B40" s="629" t="s">
        <v>1261</v>
      </c>
      <c r="C40" s="637" t="s">
        <v>1226</v>
      </c>
      <c r="D40" s="629" t="s">
        <v>1261</v>
      </c>
      <c r="E40" s="637" t="s">
        <v>1226</v>
      </c>
      <c r="F40" s="629" t="s">
        <v>1264</v>
      </c>
      <c r="G40" s="629" t="s">
        <v>1265</v>
      </c>
      <c r="H40" s="630">
        <v>-3786268.2</v>
      </c>
      <c r="M40" s="630">
        <f>H40+I40+J40+K40</f>
        <v>-3786268.2</v>
      </c>
      <c r="N40" s="630">
        <v>6099965.7599999998</v>
      </c>
      <c r="O40" s="630" t="s">
        <v>1228</v>
      </c>
      <c r="P40" s="630">
        <v>15</v>
      </c>
      <c r="Q40" s="630">
        <f>H38+H40</f>
        <v>23127785.060000002</v>
      </c>
      <c r="S40" s="630">
        <f>S38-'[1]Trail Balance'!G749</f>
        <v>67190555.129999995</v>
      </c>
      <c r="T40" s="630">
        <v>-2313697.56</v>
      </c>
      <c r="U40" s="630">
        <f>M40+N40+T40</f>
        <v>0</v>
      </c>
      <c r="W40" s="639">
        <f>248965658.14-186088445</f>
        <v>62877213.139999986</v>
      </c>
      <c r="X40" s="630">
        <f>M40+N40+T40-U40</f>
        <v>-4.6566128730773926E-10</v>
      </c>
      <c r="Y40" s="630">
        <v>0</v>
      </c>
      <c r="Z40" s="630">
        <f t="shared" si="2"/>
        <v>0</v>
      </c>
      <c r="AD40" s="630">
        <v>-2999.61</v>
      </c>
    </row>
    <row r="41" spans="1:30">
      <c r="C41" s="637"/>
      <c r="E41" s="637"/>
      <c r="G41" s="629" t="s">
        <v>1839</v>
      </c>
      <c r="H41" s="630">
        <v>0</v>
      </c>
      <c r="M41" s="630">
        <f>H41+I41+L41</f>
        <v>0</v>
      </c>
      <c r="N41" s="630">
        <v>0</v>
      </c>
      <c r="T41" s="630">
        <v>-727328.6</v>
      </c>
      <c r="U41" s="630">
        <f>M41+N41+T41</f>
        <v>-727328.6</v>
      </c>
      <c r="W41" s="639"/>
      <c r="X41" s="630">
        <f>M41+N41+T41-U41</f>
        <v>0</v>
      </c>
      <c r="Y41" s="630">
        <v>-727328.6</v>
      </c>
      <c r="Z41" s="630">
        <f t="shared" si="2"/>
        <v>0</v>
      </c>
      <c r="AD41" s="630">
        <v>-126049.57</v>
      </c>
    </row>
    <row r="42" spans="1:30">
      <c r="B42" s="629" t="s">
        <v>1231</v>
      </c>
      <c r="C42" s="637"/>
      <c r="E42" s="637"/>
      <c r="G42" s="629" t="s">
        <v>1266</v>
      </c>
      <c r="H42" s="642">
        <f>SUM(H38:H41)</f>
        <v>23127785.060000002</v>
      </c>
      <c r="I42" s="668">
        <f t="shared" ref="I42:U42" si="11">SUM(I38:I41)</f>
        <v>642000</v>
      </c>
      <c r="J42" s="668">
        <f>SUM(J38:J41)</f>
        <v>0</v>
      </c>
      <c r="K42" s="668">
        <f>SUM(K38:K41)</f>
        <v>-40027243.560000002</v>
      </c>
      <c r="L42" s="668">
        <f>SUM(L38:L41)</f>
        <v>0</v>
      </c>
      <c r="M42" s="642">
        <f>SUM(M38:M41)</f>
        <v>-16257458.5</v>
      </c>
      <c r="N42" s="642">
        <f t="shared" si="11"/>
        <v>100036485.36000001</v>
      </c>
      <c r="O42" s="642">
        <f t="shared" si="11"/>
        <v>0</v>
      </c>
      <c r="P42" s="642">
        <f t="shared" si="11"/>
        <v>30</v>
      </c>
      <c r="Q42" s="642">
        <f t="shared" si="11"/>
        <v>123164270.42000002</v>
      </c>
      <c r="R42" s="642">
        <f t="shared" si="11"/>
        <v>0</v>
      </c>
      <c r="S42" s="642">
        <f t="shared" si="11"/>
        <v>134213021.47</v>
      </c>
      <c r="T42" s="642">
        <f>SUM(T38:T41)</f>
        <v>-106718935.73999998</v>
      </c>
      <c r="U42" s="642">
        <f t="shared" si="11"/>
        <v>-22939908.879999973</v>
      </c>
      <c r="W42" s="639"/>
      <c r="X42" s="630">
        <f>M42+N42+T42-U42</f>
        <v>0</v>
      </c>
      <c r="Z42" s="630">
        <f t="shared" si="2"/>
        <v>22939908.879999973</v>
      </c>
      <c r="AD42" s="630">
        <v>-3871632.78</v>
      </c>
    </row>
    <row r="43" spans="1:30">
      <c r="C43" s="637"/>
      <c r="E43" s="637"/>
      <c r="H43" s="638"/>
      <c r="I43" s="669"/>
      <c r="J43" s="669"/>
      <c r="K43" s="669"/>
      <c r="L43" s="669"/>
      <c r="M43" s="638"/>
      <c r="N43" s="638"/>
      <c r="W43" s="639"/>
      <c r="Y43" s="630">
        <v>-20544542.109999999</v>
      </c>
      <c r="Z43" s="630">
        <f t="shared" si="2"/>
        <v>-20544542.109999999</v>
      </c>
      <c r="AD43" s="630">
        <v>-8159467.71</v>
      </c>
    </row>
    <row r="44" spans="1:30">
      <c r="B44" s="629" t="s">
        <v>1237</v>
      </c>
      <c r="C44" s="637"/>
      <c r="E44" s="637"/>
      <c r="G44" s="629" t="s">
        <v>1267</v>
      </c>
      <c r="H44" s="642">
        <f>H42</f>
        <v>23127785.060000002</v>
      </c>
      <c r="I44" s="668">
        <f t="shared" ref="I44:U44" si="12">I42</f>
        <v>642000</v>
      </c>
      <c r="J44" s="668">
        <f>J42</f>
        <v>0</v>
      </c>
      <c r="K44" s="673">
        <f>K42</f>
        <v>-40027243.560000002</v>
      </c>
      <c r="L44" s="668">
        <f t="shared" si="12"/>
        <v>0</v>
      </c>
      <c r="M44" s="664">
        <f t="shared" si="12"/>
        <v>-16257458.5</v>
      </c>
      <c r="N44" s="642">
        <f t="shared" si="12"/>
        <v>100036485.36000001</v>
      </c>
      <c r="O44" s="642">
        <f t="shared" si="12"/>
        <v>0</v>
      </c>
      <c r="P44" s="642">
        <f t="shared" si="12"/>
        <v>30</v>
      </c>
      <c r="Q44" s="642">
        <f t="shared" si="12"/>
        <v>123164270.42000002</v>
      </c>
      <c r="R44" s="642">
        <f t="shared" si="12"/>
        <v>0</v>
      </c>
      <c r="S44" s="642">
        <f t="shared" si="12"/>
        <v>134213021.47</v>
      </c>
      <c r="T44" s="642">
        <f t="shared" si="12"/>
        <v>-106718935.73999998</v>
      </c>
      <c r="U44" s="642">
        <f t="shared" si="12"/>
        <v>-22939908.879999973</v>
      </c>
      <c r="W44" s="639"/>
      <c r="Y44" s="630">
        <f>Y43-U42</f>
        <v>2395366.7699999735</v>
      </c>
      <c r="Z44" s="630">
        <f t="shared" si="2"/>
        <v>25335275.649999946</v>
      </c>
      <c r="AD44" s="630">
        <v>-5430147.8200000003</v>
      </c>
    </row>
    <row r="45" spans="1:30">
      <c r="C45" s="637"/>
      <c r="E45" s="637"/>
      <c r="H45" s="638"/>
      <c r="I45" s="669"/>
      <c r="J45" s="669"/>
      <c r="K45" s="669"/>
      <c r="L45" s="669"/>
      <c r="M45" s="630">
        <f>H45+I45+L45</f>
        <v>0</v>
      </c>
      <c r="N45" s="638"/>
      <c r="W45" s="639"/>
      <c r="Z45" s="630">
        <f t="shared" si="2"/>
        <v>0</v>
      </c>
      <c r="AD45" s="630">
        <v>-6237984.0599999996</v>
      </c>
    </row>
    <row r="46" spans="1:30">
      <c r="A46" s="629">
        <v>5</v>
      </c>
      <c r="B46" s="629" t="s">
        <v>1268</v>
      </c>
      <c r="C46" s="637" t="s">
        <v>1226</v>
      </c>
      <c r="D46" s="629" t="s">
        <v>1268</v>
      </c>
      <c r="E46" s="637" t="s">
        <v>1226</v>
      </c>
      <c r="F46" s="629" t="s">
        <v>1269</v>
      </c>
      <c r="G46" s="629" t="s">
        <v>1270</v>
      </c>
      <c r="H46" s="630">
        <v>-11000</v>
      </c>
      <c r="I46" s="667">
        <v>9750</v>
      </c>
      <c r="M46" s="630">
        <f>SUM(H46:L46)</f>
        <v>-1250</v>
      </c>
      <c r="N46" s="630">
        <v>0</v>
      </c>
      <c r="O46" s="630" t="s">
        <v>1228</v>
      </c>
      <c r="P46" s="630">
        <v>1</v>
      </c>
      <c r="Q46" s="630" t="s">
        <v>1229</v>
      </c>
      <c r="R46" s="630">
        <f>N38+N40</f>
        <v>100036485.36000001</v>
      </c>
      <c r="S46" s="630">
        <f>S38-S40</f>
        <v>-168088.78999999166</v>
      </c>
      <c r="T46" s="630">
        <v>1250</v>
      </c>
      <c r="U46" s="630">
        <f>+M46+N46+T46</f>
        <v>0</v>
      </c>
      <c r="W46" s="639"/>
      <c r="Y46" s="630">
        <v>0</v>
      </c>
      <c r="Z46" s="630">
        <f t="shared" si="2"/>
        <v>0</v>
      </c>
      <c r="AD46" s="630">
        <v>-11395.47</v>
      </c>
    </row>
    <row r="47" spans="1:30">
      <c r="C47" s="637"/>
      <c r="E47" s="637"/>
      <c r="M47" s="630">
        <f>H47+I47+L47</f>
        <v>0</v>
      </c>
      <c r="W47" s="639"/>
      <c r="Z47" s="630">
        <f t="shared" si="2"/>
        <v>0</v>
      </c>
      <c r="AD47" s="630">
        <v>3331509.08</v>
      </c>
    </row>
    <row r="48" spans="1:30">
      <c r="B48" s="629" t="s">
        <v>1231</v>
      </c>
      <c r="C48" s="637"/>
      <c r="E48" s="637"/>
      <c r="G48" s="629" t="s">
        <v>1271</v>
      </c>
      <c r="H48" s="642">
        <f>H46</f>
        <v>-11000</v>
      </c>
      <c r="I48" s="668">
        <f t="shared" ref="I48:T48" si="13">I46</f>
        <v>9750</v>
      </c>
      <c r="J48" s="668"/>
      <c r="K48" s="668"/>
      <c r="L48" s="668">
        <f t="shared" si="13"/>
        <v>0</v>
      </c>
      <c r="M48" s="642">
        <f t="shared" si="13"/>
        <v>-1250</v>
      </c>
      <c r="N48" s="642">
        <f t="shared" si="13"/>
        <v>0</v>
      </c>
      <c r="O48" s="642" t="str">
        <f t="shared" si="13"/>
        <v>D</v>
      </c>
      <c r="P48" s="642">
        <f t="shared" si="13"/>
        <v>1</v>
      </c>
      <c r="Q48" s="642" t="str">
        <f t="shared" si="13"/>
        <v>stat funds</v>
      </c>
      <c r="R48" s="642">
        <f t="shared" si="13"/>
        <v>100036485.36000001</v>
      </c>
      <c r="S48" s="642">
        <f t="shared" si="13"/>
        <v>-168088.78999999166</v>
      </c>
      <c r="T48" s="642">
        <f t="shared" si="13"/>
        <v>1250</v>
      </c>
      <c r="U48" s="642">
        <f>U46</f>
        <v>0</v>
      </c>
      <c r="W48" s="639"/>
      <c r="Z48" s="630">
        <f t="shared" si="2"/>
        <v>0</v>
      </c>
      <c r="AD48" s="630">
        <f>SUM(AD36:AD47)</f>
        <v>-43644608.790000007</v>
      </c>
    </row>
    <row r="49" spans="1:26">
      <c r="C49" s="637"/>
      <c r="E49" s="637"/>
      <c r="H49" s="638"/>
      <c r="I49" s="669"/>
      <c r="J49" s="669"/>
      <c r="K49" s="669"/>
      <c r="L49" s="669"/>
      <c r="M49" s="638"/>
      <c r="N49" s="638"/>
      <c r="W49" s="639"/>
      <c r="Z49" s="630">
        <f t="shared" si="2"/>
        <v>0</v>
      </c>
    </row>
    <row r="50" spans="1:26">
      <c r="A50" s="629">
        <v>5</v>
      </c>
      <c r="B50" s="629" t="s">
        <v>1268</v>
      </c>
      <c r="C50" s="637" t="s">
        <v>1226</v>
      </c>
      <c r="D50" s="629" t="s">
        <v>1272</v>
      </c>
      <c r="E50" s="637" t="s">
        <v>1226</v>
      </c>
      <c r="F50" s="629" t="s">
        <v>1273</v>
      </c>
      <c r="G50" s="629" t="s">
        <v>1274</v>
      </c>
      <c r="H50" s="630">
        <v>-2027253.95</v>
      </c>
      <c r="I50" s="667">
        <v>2027253.95</v>
      </c>
      <c r="M50" s="630">
        <f t="shared" ref="M50:M79" si="14">H50+I50+L50</f>
        <v>0</v>
      </c>
      <c r="N50" s="630">
        <v>0</v>
      </c>
      <c r="O50" s="630" t="s">
        <v>1228</v>
      </c>
      <c r="P50" s="630">
        <v>1</v>
      </c>
      <c r="Q50" s="630" t="s">
        <v>1229</v>
      </c>
      <c r="T50" s="630">
        <v>0</v>
      </c>
      <c r="U50" s="630">
        <f t="shared" ref="U50:U79" si="15">+M50+N50+T50</f>
        <v>0</v>
      </c>
      <c r="W50" s="639"/>
      <c r="Y50" s="630">
        <v>0</v>
      </c>
      <c r="Z50" s="630">
        <f t="shared" si="2"/>
        <v>0</v>
      </c>
    </row>
    <row r="51" spans="1:26">
      <c r="A51" s="629">
        <v>5</v>
      </c>
      <c r="B51" s="629" t="s">
        <v>1268</v>
      </c>
      <c r="C51" s="637" t="s">
        <v>1226</v>
      </c>
      <c r="D51" s="629" t="s">
        <v>1272</v>
      </c>
      <c r="E51" s="637" t="s">
        <v>1226</v>
      </c>
      <c r="F51" s="629" t="s">
        <v>1275</v>
      </c>
      <c r="G51" s="629" t="s">
        <v>1274</v>
      </c>
      <c r="H51" s="630">
        <v>-471465.18</v>
      </c>
      <c r="I51" s="667">
        <v>471465.18</v>
      </c>
      <c r="M51" s="630">
        <f t="shared" si="14"/>
        <v>0</v>
      </c>
      <c r="N51" s="630">
        <v>0</v>
      </c>
      <c r="O51" s="630" t="s">
        <v>1228</v>
      </c>
      <c r="P51" s="630">
        <v>1</v>
      </c>
      <c r="Q51" s="630" t="s">
        <v>1229</v>
      </c>
      <c r="U51" s="630">
        <f t="shared" si="15"/>
        <v>0</v>
      </c>
      <c r="W51" s="639"/>
      <c r="Y51" s="630">
        <v>0</v>
      </c>
      <c r="Z51" s="630">
        <f t="shared" si="2"/>
        <v>0</v>
      </c>
    </row>
    <row r="52" spans="1:26">
      <c r="A52" s="629">
        <v>5</v>
      </c>
      <c r="B52" s="629" t="s">
        <v>1268</v>
      </c>
      <c r="C52" s="637" t="s">
        <v>1226</v>
      </c>
      <c r="D52" s="629" t="s">
        <v>1272</v>
      </c>
      <c r="E52" s="637" t="s">
        <v>1226</v>
      </c>
      <c r="F52" s="629" t="s">
        <v>1276</v>
      </c>
      <c r="G52" s="629" t="s">
        <v>1274</v>
      </c>
      <c r="H52" s="630">
        <v>-470449.1</v>
      </c>
      <c r="I52" s="667">
        <v>623949.1</v>
      </c>
      <c r="M52" s="630">
        <f t="shared" si="14"/>
        <v>153500</v>
      </c>
      <c r="N52" s="630">
        <v>0</v>
      </c>
      <c r="O52" s="630" t="s">
        <v>1228</v>
      </c>
      <c r="P52" s="630">
        <v>1</v>
      </c>
      <c r="Q52" s="630" t="s">
        <v>1229</v>
      </c>
      <c r="T52" s="630">
        <v>-153500</v>
      </c>
      <c r="U52" s="630">
        <f t="shared" si="15"/>
        <v>0</v>
      </c>
      <c r="W52" s="639"/>
      <c r="Y52" s="630">
        <v>0</v>
      </c>
      <c r="Z52" s="630">
        <f t="shared" si="2"/>
        <v>0</v>
      </c>
    </row>
    <row r="53" spans="1:26">
      <c r="A53" s="629">
        <v>5</v>
      </c>
      <c r="B53" s="629" t="s">
        <v>1268</v>
      </c>
      <c r="C53" s="637" t="s">
        <v>1226</v>
      </c>
      <c r="D53" s="629" t="s">
        <v>1272</v>
      </c>
      <c r="E53" s="637" t="s">
        <v>1226</v>
      </c>
      <c r="F53" s="629" t="s">
        <v>1277</v>
      </c>
      <c r="G53" s="629" t="s">
        <v>1274</v>
      </c>
      <c r="H53" s="630">
        <v>-927953.53</v>
      </c>
      <c r="I53" s="667">
        <v>927953.53</v>
      </c>
      <c r="M53" s="630">
        <f t="shared" si="14"/>
        <v>0</v>
      </c>
      <c r="N53" s="630">
        <v>0</v>
      </c>
      <c r="O53" s="630" t="s">
        <v>1228</v>
      </c>
      <c r="P53" s="630">
        <v>1</v>
      </c>
      <c r="Q53" s="630" t="s">
        <v>1229</v>
      </c>
      <c r="U53" s="630">
        <f t="shared" si="15"/>
        <v>0</v>
      </c>
      <c r="W53" s="639"/>
      <c r="Y53" s="630">
        <v>0</v>
      </c>
      <c r="Z53" s="630">
        <f t="shared" si="2"/>
        <v>0</v>
      </c>
    </row>
    <row r="54" spans="1:26">
      <c r="A54" s="629">
        <v>5</v>
      </c>
      <c r="B54" s="629" t="s">
        <v>1268</v>
      </c>
      <c r="C54" s="637" t="s">
        <v>1226</v>
      </c>
      <c r="D54" s="629" t="s">
        <v>1272</v>
      </c>
      <c r="E54" s="637" t="s">
        <v>1226</v>
      </c>
      <c r="F54" s="629" t="s">
        <v>1278</v>
      </c>
      <c r="G54" s="629" t="s">
        <v>1274</v>
      </c>
      <c r="H54" s="630">
        <v>-1953320.43</v>
      </c>
      <c r="I54" s="667">
        <v>1803450.43</v>
      </c>
      <c r="M54" s="630">
        <f t="shared" si="14"/>
        <v>-149870</v>
      </c>
      <c r="N54" s="630">
        <v>0</v>
      </c>
      <c r="O54" s="630" t="s">
        <v>1228</v>
      </c>
      <c r="P54" s="630">
        <v>1</v>
      </c>
      <c r="Q54" s="630" t="s">
        <v>1229</v>
      </c>
      <c r="T54" s="630">
        <v>149870</v>
      </c>
      <c r="U54" s="630">
        <f t="shared" si="15"/>
        <v>0</v>
      </c>
      <c r="W54" s="639"/>
      <c r="Y54" s="630">
        <v>0</v>
      </c>
      <c r="Z54" s="630">
        <f t="shared" si="2"/>
        <v>0</v>
      </c>
    </row>
    <row r="55" spans="1:26">
      <c r="A55" s="629">
        <v>5</v>
      </c>
      <c r="B55" s="629" t="s">
        <v>1268</v>
      </c>
      <c r="C55" s="637" t="s">
        <v>1226</v>
      </c>
      <c r="D55" s="629" t="s">
        <v>1272</v>
      </c>
      <c r="E55" s="637" t="s">
        <v>1226</v>
      </c>
      <c r="F55" s="629" t="s">
        <v>1279</v>
      </c>
      <c r="G55" s="629" t="s">
        <v>1274</v>
      </c>
      <c r="H55" s="630">
        <v>-293325.71000000002</v>
      </c>
      <c r="I55" s="667">
        <v>293325.71000000002</v>
      </c>
      <c r="M55" s="630">
        <f t="shared" si="14"/>
        <v>0</v>
      </c>
      <c r="N55" s="630">
        <v>0</v>
      </c>
      <c r="O55" s="630" t="s">
        <v>1228</v>
      </c>
      <c r="P55" s="630">
        <v>1</v>
      </c>
      <c r="Q55" s="630" t="s">
        <v>1229</v>
      </c>
      <c r="U55" s="630">
        <f t="shared" si="15"/>
        <v>0</v>
      </c>
      <c r="W55" s="639"/>
      <c r="Y55" s="630">
        <v>0</v>
      </c>
      <c r="Z55" s="630">
        <f t="shared" si="2"/>
        <v>0</v>
      </c>
    </row>
    <row r="56" spans="1:26">
      <c r="A56" s="629">
        <v>5</v>
      </c>
      <c r="B56" s="629" t="s">
        <v>1268</v>
      </c>
      <c r="C56" s="637" t="s">
        <v>1226</v>
      </c>
      <c r="D56" s="629" t="s">
        <v>1272</v>
      </c>
      <c r="E56" s="637" t="s">
        <v>1226</v>
      </c>
      <c r="F56" s="629" t="s">
        <v>1280</v>
      </c>
      <c r="G56" s="629" t="s">
        <v>1274</v>
      </c>
      <c r="H56" s="630">
        <v>66478.13</v>
      </c>
      <c r="I56" s="667">
        <v>-66478.13</v>
      </c>
      <c r="M56" s="630">
        <f t="shared" si="14"/>
        <v>0</v>
      </c>
      <c r="N56" s="630">
        <v>0</v>
      </c>
      <c r="O56" s="630" t="s">
        <v>1228</v>
      </c>
      <c r="P56" s="630">
        <v>1</v>
      </c>
      <c r="Q56" s="630" t="s">
        <v>1229</v>
      </c>
      <c r="T56" s="630">
        <v>0</v>
      </c>
      <c r="U56" s="630">
        <f t="shared" si="15"/>
        <v>0</v>
      </c>
      <c r="W56" s="639"/>
      <c r="Y56" s="630">
        <v>0</v>
      </c>
      <c r="Z56" s="630">
        <f t="shared" si="2"/>
        <v>0</v>
      </c>
    </row>
    <row r="57" spans="1:26">
      <c r="A57" s="629">
        <v>5</v>
      </c>
      <c r="B57" s="629" t="s">
        <v>1268</v>
      </c>
      <c r="C57" s="637" t="s">
        <v>1226</v>
      </c>
      <c r="D57" s="629" t="s">
        <v>1272</v>
      </c>
      <c r="E57" s="637" t="s">
        <v>1226</v>
      </c>
      <c r="F57" s="629" t="s">
        <v>1281</v>
      </c>
      <c r="G57" s="629" t="s">
        <v>1274</v>
      </c>
      <c r="H57" s="630">
        <v>-598036.85</v>
      </c>
      <c r="I57" s="667">
        <v>598036.85</v>
      </c>
      <c r="M57" s="630">
        <f t="shared" si="14"/>
        <v>0</v>
      </c>
      <c r="N57" s="630">
        <v>0</v>
      </c>
      <c r="O57" s="630" t="s">
        <v>1228</v>
      </c>
      <c r="P57" s="630">
        <v>1</v>
      </c>
      <c r="Q57" s="630" t="s">
        <v>1229</v>
      </c>
      <c r="T57" s="630">
        <v>0</v>
      </c>
      <c r="U57" s="630">
        <f t="shared" si="15"/>
        <v>0</v>
      </c>
      <c r="W57" s="639"/>
      <c r="Y57" s="630">
        <v>0</v>
      </c>
      <c r="Z57" s="630">
        <f t="shared" si="2"/>
        <v>0</v>
      </c>
    </row>
    <row r="58" spans="1:26">
      <c r="A58" s="629">
        <v>5</v>
      </c>
      <c r="B58" s="629" t="s">
        <v>1268</v>
      </c>
      <c r="C58" s="637" t="s">
        <v>1226</v>
      </c>
      <c r="D58" s="629" t="s">
        <v>1272</v>
      </c>
      <c r="E58" s="637" t="s">
        <v>1226</v>
      </c>
      <c r="F58" s="629" t="s">
        <v>1282</v>
      </c>
      <c r="G58" s="629" t="s">
        <v>1283</v>
      </c>
      <c r="H58" s="630">
        <v>-1344267.69</v>
      </c>
      <c r="I58" s="667">
        <v>1475287.81</v>
      </c>
      <c r="M58" s="630">
        <f t="shared" si="14"/>
        <v>131020.12000000011</v>
      </c>
      <c r="N58" s="630">
        <v>0</v>
      </c>
      <c r="O58" s="630" t="s">
        <v>1228</v>
      </c>
      <c r="P58" s="630">
        <v>1</v>
      </c>
      <c r="Q58" s="630" t="s">
        <v>1229</v>
      </c>
      <c r="T58" s="630">
        <v>-131020.12</v>
      </c>
      <c r="U58" s="630">
        <f t="shared" si="15"/>
        <v>1.1641532182693481E-10</v>
      </c>
      <c r="W58" s="639"/>
      <c r="Y58" s="630">
        <v>0</v>
      </c>
      <c r="Z58" s="630">
        <f t="shared" si="2"/>
        <v>-1.1641532182693481E-10</v>
      </c>
    </row>
    <row r="59" spans="1:26">
      <c r="A59" s="629">
        <v>5</v>
      </c>
      <c r="B59" s="629" t="s">
        <v>1268</v>
      </c>
      <c r="C59" s="637" t="s">
        <v>1226</v>
      </c>
      <c r="D59" s="629" t="s">
        <v>1272</v>
      </c>
      <c r="E59" s="637" t="s">
        <v>1226</v>
      </c>
      <c r="F59" s="629" t="s">
        <v>1284</v>
      </c>
      <c r="G59" s="629" t="s">
        <v>1274</v>
      </c>
      <c r="H59" s="630">
        <v>-33394.410000000003</v>
      </c>
      <c r="I59" s="667">
        <v>33394.410000000003</v>
      </c>
      <c r="M59" s="630">
        <f t="shared" si="14"/>
        <v>0</v>
      </c>
      <c r="N59" s="630">
        <v>0</v>
      </c>
      <c r="O59" s="630" t="s">
        <v>1228</v>
      </c>
      <c r="P59" s="630">
        <v>1</v>
      </c>
      <c r="Q59" s="630" t="s">
        <v>1229</v>
      </c>
      <c r="T59" s="630">
        <v>0</v>
      </c>
      <c r="U59" s="630">
        <f t="shared" si="15"/>
        <v>0</v>
      </c>
      <c r="W59" s="639"/>
      <c r="Y59" s="630">
        <v>0</v>
      </c>
      <c r="Z59" s="630">
        <f t="shared" si="2"/>
        <v>0</v>
      </c>
    </row>
    <row r="60" spans="1:26">
      <c r="A60" s="629">
        <v>5</v>
      </c>
      <c r="B60" s="629" t="s">
        <v>1268</v>
      </c>
      <c r="C60" s="637" t="s">
        <v>1226</v>
      </c>
      <c r="D60" s="629" t="s">
        <v>1272</v>
      </c>
      <c r="E60" s="637" t="s">
        <v>1226</v>
      </c>
      <c r="F60" s="629" t="s">
        <v>1285</v>
      </c>
      <c r="G60" s="629" t="s">
        <v>1274</v>
      </c>
      <c r="H60" s="630">
        <v>-172980.47</v>
      </c>
      <c r="I60" s="667">
        <v>172980.47</v>
      </c>
      <c r="M60" s="630">
        <f t="shared" si="14"/>
        <v>0</v>
      </c>
      <c r="N60" s="630">
        <v>0</v>
      </c>
      <c r="O60" s="630" t="s">
        <v>1228</v>
      </c>
      <c r="P60" s="630">
        <v>1</v>
      </c>
      <c r="Q60" s="630" t="s">
        <v>1229</v>
      </c>
      <c r="T60" s="630">
        <v>0</v>
      </c>
      <c r="U60" s="630">
        <f t="shared" si="15"/>
        <v>0</v>
      </c>
      <c r="W60" s="639"/>
      <c r="Y60" s="630">
        <v>0</v>
      </c>
      <c r="Z60" s="630">
        <f t="shared" si="2"/>
        <v>0</v>
      </c>
    </row>
    <row r="61" spans="1:26">
      <c r="A61" s="629">
        <v>5</v>
      </c>
      <c r="B61" s="629" t="s">
        <v>1268</v>
      </c>
      <c r="C61" s="637" t="s">
        <v>1226</v>
      </c>
      <c r="D61" s="629" t="s">
        <v>1272</v>
      </c>
      <c r="E61" s="637" t="s">
        <v>1226</v>
      </c>
      <c r="F61" s="629" t="s">
        <v>1286</v>
      </c>
      <c r="G61" s="629" t="s">
        <v>1274</v>
      </c>
      <c r="H61" s="630">
        <v>158573.12</v>
      </c>
      <c r="I61" s="667">
        <v>-158573.12</v>
      </c>
      <c r="M61" s="630">
        <f t="shared" si="14"/>
        <v>0</v>
      </c>
      <c r="N61" s="630">
        <v>0</v>
      </c>
      <c r="O61" s="630" t="s">
        <v>1228</v>
      </c>
      <c r="P61" s="630">
        <v>1</v>
      </c>
      <c r="Q61" s="630" t="s">
        <v>1229</v>
      </c>
      <c r="T61" s="630">
        <v>0</v>
      </c>
      <c r="U61" s="630">
        <f t="shared" si="15"/>
        <v>0</v>
      </c>
      <c r="W61" s="639"/>
      <c r="Y61" s="630">
        <v>0</v>
      </c>
      <c r="Z61" s="630">
        <f t="shared" si="2"/>
        <v>0</v>
      </c>
    </row>
    <row r="62" spans="1:26">
      <c r="A62" s="629">
        <v>5</v>
      </c>
      <c r="B62" s="629" t="s">
        <v>1268</v>
      </c>
      <c r="C62" s="637" t="s">
        <v>1226</v>
      </c>
      <c r="D62" s="629" t="s">
        <v>1272</v>
      </c>
      <c r="E62" s="637" t="s">
        <v>1226</v>
      </c>
      <c r="F62" s="629" t="s">
        <v>1287</v>
      </c>
      <c r="G62" s="629" t="s">
        <v>1274</v>
      </c>
      <c r="H62" s="630">
        <v>-166821.94</v>
      </c>
      <c r="I62" s="667">
        <v>166821.94</v>
      </c>
      <c r="M62" s="630">
        <f t="shared" si="14"/>
        <v>0</v>
      </c>
      <c r="N62" s="630">
        <v>0</v>
      </c>
      <c r="O62" s="630" t="s">
        <v>1228</v>
      </c>
      <c r="P62" s="630">
        <v>1</v>
      </c>
      <c r="Q62" s="630" t="s">
        <v>1229</v>
      </c>
      <c r="T62" s="630">
        <v>0</v>
      </c>
      <c r="U62" s="630">
        <f t="shared" si="15"/>
        <v>0</v>
      </c>
      <c r="W62" s="639"/>
      <c r="Y62" s="630">
        <v>0</v>
      </c>
      <c r="Z62" s="630">
        <f t="shared" si="2"/>
        <v>0</v>
      </c>
    </row>
    <row r="63" spans="1:26">
      <c r="A63" s="629">
        <v>5</v>
      </c>
      <c r="B63" s="629" t="s">
        <v>1268</v>
      </c>
      <c r="C63" s="637" t="s">
        <v>1226</v>
      </c>
      <c r="D63" s="629" t="s">
        <v>1272</v>
      </c>
      <c r="E63" s="637" t="s">
        <v>1226</v>
      </c>
      <c r="F63" s="629" t="s">
        <v>1288</v>
      </c>
      <c r="G63" s="629" t="s">
        <v>1274</v>
      </c>
      <c r="H63" s="630">
        <v>1476283.6</v>
      </c>
      <c r="I63" s="667">
        <v>-1476283.6</v>
      </c>
      <c r="M63" s="630">
        <f t="shared" si="14"/>
        <v>0</v>
      </c>
      <c r="N63" s="630">
        <v>0</v>
      </c>
      <c r="O63" s="630" t="s">
        <v>1228</v>
      </c>
      <c r="P63" s="630">
        <v>1</v>
      </c>
      <c r="Q63" s="630" t="s">
        <v>1229</v>
      </c>
      <c r="T63" s="630">
        <v>0</v>
      </c>
      <c r="U63" s="630">
        <f t="shared" si="15"/>
        <v>0</v>
      </c>
      <c r="W63" s="639"/>
      <c r="Y63" s="630">
        <v>0</v>
      </c>
      <c r="Z63" s="630">
        <f t="shared" si="2"/>
        <v>0</v>
      </c>
    </row>
    <row r="64" spans="1:26">
      <c r="A64" s="629">
        <v>5</v>
      </c>
      <c r="B64" s="629" t="s">
        <v>1268</v>
      </c>
      <c r="C64" s="637" t="s">
        <v>1226</v>
      </c>
      <c r="D64" s="629" t="s">
        <v>1272</v>
      </c>
      <c r="E64" s="637" t="s">
        <v>1226</v>
      </c>
      <c r="F64" s="629" t="s">
        <v>1289</v>
      </c>
      <c r="G64" s="629" t="s">
        <v>1274</v>
      </c>
      <c r="H64" s="630">
        <v>78921.47</v>
      </c>
      <c r="I64" s="667">
        <v>-78921.47</v>
      </c>
      <c r="M64" s="630">
        <f t="shared" si="14"/>
        <v>0</v>
      </c>
      <c r="N64" s="630">
        <v>0</v>
      </c>
      <c r="O64" s="630" t="s">
        <v>1228</v>
      </c>
      <c r="P64" s="630">
        <v>1</v>
      </c>
      <c r="Q64" s="630" t="s">
        <v>1229</v>
      </c>
      <c r="T64" s="630">
        <v>0</v>
      </c>
      <c r="U64" s="630">
        <f t="shared" si="15"/>
        <v>0</v>
      </c>
      <c r="W64" s="639"/>
      <c r="Y64" s="630">
        <v>0</v>
      </c>
      <c r="Z64" s="630">
        <f t="shared" si="2"/>
        <v>0</v>
      </c>
    </row>
    <row r="65" spans="1:26">
      <c r="A65" s="629">
        <v>5</v>
      </c>
      <c r="B65" s="629" t="s">
        <v>1268</v>
      </c>
      <c r="C65" s="637" t="s">
        <v>1226</v>
      </c>
      <c r="D65" s="629" t="s">
        <v>1272</v>
      </c>
      <c r="E65" s="637" t="s">
        <v>1226</v>
      </c>
      <c r="F65" s="629" t="s">
        <v>1290</v>
      </c>
      <c r="G65" s="629" t="s">
        <v>1291</v>
      </c>
      <c r="H65" s="630">
        <v>-12827.67</v>
      </c>
      <c r="I65" s="667">
        <v>2737.67</v>
      </c>
      <c r="M65" s="630">
        <f t="shared" si="14"/>
        <v>-10090</v>
      </c>
      <c r="N65" s="630">
        <v>0</v>
      </c>
      <c r="O65" s="630" t="s">
        <v>1228</v>
      </c>
      <c r="P65" s="630">
        <v>1</v>
      </c>
      <c r="Q65" s="630" t="s">
        <v>1229</v>
      </c>
      <c r="T65" s="630">
        <v>10090</v>
      </c>
      <c r="U65" s="630">
        <f t="shared" si="15"/>
        <v>0</v>
      </c>
      <c r="W65" s="639"/>
      <c r="Y65" s="630">
        <v>0</v>
      </c>
      <c r="Z65" s="630">
        <f t="shared" si="2"/>
        <v>0</v>
      </c>
    </row>
    <row r="66" spans="1:26">
      <c r="A66" s="629">
        <v>5</v>
      </c>
      <c r="B66" s="629" t="s">
        <v>1268</v>
      </c>
      <c r="C66" s="637" t="s">
        <v>1226</v>
      </c>
      <c r="D66" s="629" t="s">
        <v>1272</v>
      </c>
      <c r="E66" s="637" t="s">
        <v>1226</v>
      </c>
      <c r="F66" s="629" t="s">
        <v>1292</v>
      </c>
      <c r="G66" s="629" t="s">
        <v>1293</v>
      </c>
      <c r="H66" s="630">
        <v>-187350</v>
      </c>
      <c r="I66" s="667">
        <v>187350</v>
      </c>
      <c r="M66" s="630">
        <f t="shared" si="14"/>
        <v>0</v>
      </c>
      <c r="N66" s="630">
        <v>0</v>
      </c>
      <c r="O66" s="630" t="s">
        <v>1228</v>
      </c>
      <c r="P66" s="630">
        <v>1</v>
      </c>
      <c r="Q66" s="630" t="s">
        <v>1229</v>
      </c>
      <c r="T66" s="630">
        <v>0</v>
      </c>
      <c r="U66" s="630">
        <f t="shared" si="15"/>
        <v>0</v>
      </c>
      <c r="W66" s="639"/>
      <c r="Y66" s="630">
        <v>0</v>
      </c>
      <c r="Z66" s="630">
        <f t="shared" si="2"/>
        <v>0</v>
      </c>
    </row>
    <row r="67" spans="1:26">
      <c r="A67" s="629">
        <v>5</v>
      </c>
      <c r="B67" s="629" t="s">
        <v>1268</v>
      </c>
      <c r="C67" s="637" t="s">
        <v>1226</v>
      </c>
      <c r="D67" s="629" t="s">
        <v>1272</v>
      </c>
      <c r="E67" s="637" t="s">
        <v>1226</v>
      </c>
      <c r="F67" s="629" t="s">
        <v>1294</v>
      </c>
      <c r="G67" s="629" t="s">
        <v>1295</v>
      </c>
      <c r="H67" s="630">
        <v>-207364.48000000001</v>
      </c>
      <c r="I67" s="667">
        <v>207364.48000000001</v>
      </c>
      <c r="M67" s="630">
        <f t="shared" si="14"/>
        <v>0</v>
      </c>
      <c r="N67" s="630">
        <v>0</v>
      </c>
      <c r="O67" s="630" t="s">
        <v>1228</v>
      </c>
      <c r="P67" s="630">
        <v>1</v>
      </c>
      <c r="Q67" s="630" t="s">
        <v>1229</v>
      </c>
      <c r="T67" s="630">
        <v>0</v>
      </c>
      <c r="U67" s="630">
        <f t="shared" si="15"/>
        <v>0</v>
      </c>
      <c r="W67" s="639"/>
      <c r="Y67" s="630">
        <v>0</v>
      </c>
      <c r="Z67" s="630">
        <f t="shared" si="2"/>
        <v>0</v>
      </c>
    </row>
    <row r="68" spans="1:26">
      <c r="A68" s="629">
        <v>5</v>
      </c>
      <c r="B68" s="629" t="s">
        <v>1268</v>
      </c>
      <c r="C68" s="637" t="s">
        <v>1226</v>
      </c>
      <c r="D68" s="629" t="s">
        <v>1272</v>
      </c>
      <c r="E68" s="637" t="s">
        <v>1226</v>
      </c>
      <c r="F68" s="629" t="s">
        <v>1296</v>
      </c>
      <c r="G68" s="629" t="s">
        <v>1297</v>
      </c>
      <c r="H68" s="630">
        <v>-11217.5</v>
      </c>
      <c r="I68" s="667">
        <v>11217.5</v>
      </c>
      <c r="M68" s="630">
        <f t="shared" si="14"/>
        <v>0</v>
      </c>
      <c r="N68" s="630">
        <v>0</v>
      </c>
      <c r="O68" s="630" t="s">
        <v>1228</v>
      </c>
      <c r="P68" s="630">
        <v>1</v>
      </c>
      <c r="Q68" s="630" t="s">
        <v>1229</v>
      </c>
      <c r="T68" s="630">
        <v>0</v>
      </c>
      <c r="U68" s="630">
        <f t="shared" si="15"/>
        <v>0</v>
      </c>
      <c r="W68" s="639"/>
      <c r="Y68" s="630">
        <v>0</v>
      </c>
      <c r="Z68" s="630">
        <f t="shared" si="2"/>
        <v>0</v>
      </c>
    </row>
    <row r="69" spans="1:26">
      <c r="A69" s="629">
        <v>5</v>
      </c>
      <c r="B69" s="629" t="s">
        <v>1268</v>
      </c>
      <c r="C69" s="637" t="s">
        <v>1226</v>
      </c>
      <c r="D69" s="629" t="s">
        <v>1272</v>
      </c>
      <c r="E69" s="637" t="s">
        <v>1226</v>
      </c>
      <c r="F69" s="629" t="s">
        <v>1298</v>
      </c>
      <c r="G69" s="629" t="s">
        <v>1299</v>
      </c>
      <c r="H69" s="630">
        <v>105687.12</v>
      </c>
      <c r="I69" s="667">
        <v>-88293.32</v>
      </c>
      <c r="M69" s="630">
        <f t="shared" si="14"/>
        <v>17393.799999999988</v>
      </c>
      <c r="N69" s="630">
        <v>0</v>
      </c>
      <c r="O69" s="630" t="s">
        <v>1228</v>
      </c>
      <c r="P69" s="630">
        <v>1</v>
      </c>
      <c r="Q69" s="630" t="s">
        <v>1229</v>
      </c>
      <c r="T69" s="630">
        <v>-17393.8</v>
      </c>
      <c r="U69" s="630">
        <f t="shared" si="15"/>
        <v>0</v>
      </c>
      <c r="W69" s="639"/>
      <c r="Y69" s="630">
        <v>0</v>
      </c>
      <c r="Z69" s="630">
        <f t="shared" si="2"/>
        <v>0</v>
      </c>
    </row>
    <row r="70" spans="1:26">
      <c r="A70" s="629">
        <v>5</v>
      </c>
      <c r="B70" s="629" t="s">
        <v>1268</v>
      </c>
      <c r="C70" s="637" t="s">
        <v>1226</v>
      </c>
      <c r="D70" s="629" t="s">
        <v>1272</v>
      </c>
      <c r="E70" s="637" t="s">
        <v>1226</v>
      </c>
      <c r="F70" s="629" t="s">
        <v>1300</v>
      </c>
      <c r="G70" s="629" t="s">
        <v>1301</v>
      </c>
      <c r="H70" s="630">
        <v>139931.23000000001</v>
      </c>
      <c r="I70" s="667">
        <v>-139931.23000000001</v>
      </c>
      <c r="M70" s="630">
        <f t="shared" si="14"/>
        <v>0</v>
      </c>
      <c r="N70" s="630">
        <v>0</v>
      </c>
      <c r="O70" s="630" t="s">
        <v>1228</v>
      </c>
      <c r="P70" s="630">
        <v>1</v>
      </c>
      <c r="Q70" s="630" t="s">
        <v>1229</v>
      </c>
      <c r="U70" s="630">
        <f t="shared" si="15"/>
        <v>0</v>
      </c>
      <c r="W70" s="639"/>
      <c r="Y70" s="630">
        <v>0</v>
      </c>
      <c r="Z70" s="630">
        <f t="shared" si="2"/>
        <v>0</v>
      </c>
    </row>
    <row r="71" spans="1:26">
      <c r="A71" s="629">
        <v>5</v>
      </c>
      <c r="B71" s="629" t="s">
        <v>1268</v>
      </c>
      <c r="C71" s="637" t="s">
        <v>1226</v>
      </c>
      <c r="D71" s="629" t="s">
        <v>1272</v>
      </c>
      <c r="E71" s="637" t="s">
        <v>1226</v>
      </c>
      <c r="F71" s="629" t="s">
        <v>1302</v>
      </c>
      <c r="G71" s="629" t="s">
        <v>1303</v>
      </c>
      <c r="H71" s="630">
        <v>93871.73</v>
      </c>
      <c r="I71" s="667">
        <v>-92231.23</v>
      </c>
      <c r="M71" s="630">
        <f t="shared" si="14"/>
        <v>1640.5</v>
      </c>
      <c r="N71" s="630">
        <v>0</v>
      </c>
      <c r="O71" s="630" t="s">
        <v>1228</v>
      </c>
      <c r="P71" s="630">
        <v>1</v>
      </c>
      <c r="Q71" s="630" t="s">
        <v>1229</v>
      </c>
      <c r="T71" s="630">
        <v>-1640.5</v>
      </c>
      <c r="U71" s="630">
        <f t="shared" si="15"/>
        <v>0</v>
      </c>
      <c r="W71" s="639"/>
      <c r="Y71" s="630">
        <v>0</v>
      </c>
      <c r="Z71" s="630">
        <f t="shared" si="2"/>
        <v>0</v>
      </c>
    </row>
    <row r="72" spans="1:26">
      <c r="A72" s="629">
        <v>5</v>
      </c>
      <c r="B72" s="629" t="s">
        <v>1268</v>
      </c>
      <c r="C72" s="637" t="s">
        <v>1226</v>
      </c>
      <c r="D72" s="629" t="s">
        <v>1272</v>
      </c>
      <c r="E72" s="637" t="s">
        <v>1226</v>
      </c>
      <c r="F72" s="629" t="s">
        <v>1304</v>
      </c>
      <c r="G72" s="629" t="s">
        <v>1305</v>
      </c>
      <c r="H72" s="630">
        <v>95331.23</v>
      </c>
      <c r="I72" s="667">
        <v>-77831.23</v>
      </c>
      <c r="M72" s="630">
        <f t="shared" si="14"/>
        <v>17500</v>
      </c>
      <c r="N72" s="630">
        <v>0</v>
      </c>
      <c r="O72" s="630" t="s">
        <v>1228</v>
      </c>
      <c r="P72" s="630">
        <v>1</v>
      </c>
      <c r="Q72" s="630" t="s">
        <v>1229</v>
      </c>
      <c r="T72" s="630">
        <v>-17500</v>
      </c>
      <c r="U72" s="630">
        <f t="shared" si="15"/>
        <v>0</v>
      </c>
      <c r="W72" s="639"/>
      <c r="Y72" s="630">
        <v>0</v>
      </c>
      <c r="Z72" s="630">
        <f t="shared" ref="Z72:Z135" si="16">Y72-U72</f>
        <v>0</v>
      </c>
    </row>
    <row r="73" spans="1:26">
      <c r="A73" s="629">
        <v>5</v>
      </c>
      <c r="B73" s="629" t="s">
        <v>1268</v>
      </c>
      <c r="C73" s="637" t="s">
        <v>1226</v>
      </c>
      <c r="D73" s="629" t="s">
        <v>1272</v>
      </c>
      <c r="E73" s="637" t="s">
        <v>1226</v>
      </c>
      <c r="F73" s="629" t="s">
        <v>1306</v>
      </c>
      <c r="G73" s="629" t="s">
        <v>1307</v>
      </c>
      <c r="H73" s="630">
        <v>263479.5</v>
      </c>
      <c r="I73" s="667">
        <v>-239918.82</v>
      </c>
      <c r="M73" s="630">
        <f t="shared" si="14"/>
        <v>23560.679999999993</v>
      </c>
      <c r="N73" s="630">
        <v>0</v>
      </c>
      <c r="O73" s="630" t="s">
        <v>1228</v>
      </c>
      <c r="P73" s="630">
        <v>1</v>
      </c>
      <c r="Q73" s="630" t="s">
        <v>1229</v>
      </c>
      <c r="T73" s="630">
        <v>-23560.68</v>
      </c>
      <c r="U73" s="630">
        <f t="shared" si="15"/>
        <v>0</v>
      </c>
      <c r="W73" s="639"/>
      <c r="Y73" s="630">
        <v>0</v>
      </c>
      <c r="Z73" s="630">
        <f t="shared" si="16"/>
        <v>0</v>
      </c>
    </row>
    <row r="74" spans="1:26">
      <c r="A74" s="629">
        <v>5</v>
      </c>
      <c r="B74" s="629" t="s">
        <v>1268</v>
      </c>
      <c r="C74" s="637" t="s">
        <v>1226</v>
      </c>
      <c r="D74" s="629" t="s">
        <v>1272</v>
      </c>
      <c r="E74" s="637" t="s">
        <v>1226</v>
      </c>
      <c r="F74" s="629" t="s">
        <v>1308</v>
      </c>
      <c r="G74" s="629" t="s">
        <v>1309</v>
      </c>
      <c r="H74" s="630">
        <v>56279.01</v>
      </c>
      <c r="I74" s="667">
        <v>-54638.51</v>
      </c>
      <c r="M74" s="630">
        <f t="shared" si="14"/>
        <v>1640.5</v>
      </c>
      <c r="N74" s="630">
        <v>0</v>
      </c>
      <c r="O74" s="630" t="s">
        <v>1228</v>
      </c>
      <c r="P74" s="630">
        <v>1</v>
      </c>
      <c r="Q74" s="630" t="s">
        <v>1229</v>
      </c>
      <c r="T74" s="630">
        <v>-1640.5</v>
      </c>
      <c r="U74" s="630">
        <f t="shared" si="15"/>
        <v>0</v>
      </c>
      <c r="W74" s="639"/>
      <c r="Y74" s="630">
        <v>0</v>
      </c>
      <c r="Z74" s="630">
        <f t="shared" si="16"/>
        <v>0</v>
      </c>
    </row>
    <row r="75" spans="1:26">
      <c r="A75" s="629">
        <v>5</v>
      </c>
      <c r="B75" s="629" t="s">
        <v>1268</v>
      </c>
      <c r="C75" s="637" t="s">
        <v>1226</v>
      </c>
      <c r="D75" s="629" t="s">
        <v>1272</v>
      </c>
      <c r="E75" s="637" t="s">
        <v>1226</v>
      </c>
      <c r="F75" s="629" t="s">
        <v>1310</v>
      </c>
      <c r="G75" s="629" t="s">
        <v>1311</v>
      </c>
      <c r="H75" s="630">
        <v>460794.43</v>
      </c>
      <c r="I75" s="667">
        <v>-434708.38</v>
      </c>
      <c r="M75" s="630">
        <f t="shared" si="14"/>
        <v>26086.049999999988</v>
      </c>
      <c r="N75" s="630">
        <v>0</v>
      </c>
      <c r="O75" s="630" t="s">
        <v>1228</v>
      </c>
      <c r="P75" s="630">
        <v>1</v>
      </c>
      <c r="Q75" s="630" t="s">
        <v>1229</v>
      </c>
      <c r="T75" s="630">
        <v>-26086.05</v>
      </c>
      <c r="U75" s="630">
        <f t="shared" si="15"/>
        <v>0</v>
      </c>
      <c r="W75" s="639"/>
      <c r="Y75" s="630">
        <v>0</v>
      </c>
      <c r="Z75" s="630">
        <f t="shared" si="16"/>
        <v>0</v>
      </c>
    </row>
    <row r="76" spans="1:26">
      <c r="A76" s="629">
        <v>5</v>
      </c>
      <c r="B76" s="629" t="s">
        <v>1268</v>
      </c>
      <c r="C76" s="637" t="s">
        <v>1226</v>
      </c>
      <c r="D76" s="629" t="s">
        <v>1272</v>
      </c>
      <c r="E76" s="637" t="s">
        <v>1226</v>
      </c>
      <c r="F76" s="629" t="s">
        <v>1312</v>
      </c>
      <c r="G76" s="629" t="s">
        <v>1313</v>
      </c>
      <c r="H76" s="630">
        <v>173285.51</v>
      </c>
      <c r="I76" s="667">
        <v>-146031.60999999999</v>
      </c>
      <c r="K76" s="667">
        <v>0</v>
      </c>
      <c r="M76" s="630">
        <f>SUM(H76:L76)</f>
        <v>27253.900000000023</v>
      </c>
      <c r="N76" s="630">
        <v>0</v>
      </c>
      <c r="O76" s="630" t="s">
        <v>1228</v>
      </c>
      <c r="P76" s="630">
        <v>1</v>
      </c>
      <c r="Q76" s="630" t="s">
        <v>1229</v>
      </c>
      <c r="T76" s="630">
        <v>-27253.9</v>
      </c>
      <c r="U76" s="630">
        <f t="shared" si="15"/>
        <v>0</v>
      </c>
      <c r="W76" s="639"/>
      <c r="Y76" s="630">
        <v>0</v>
      </c>
      <c r="Z76" s="630">
        <f t="shared" si="16"/>
        <v>0</v>
      </c>
    </row>
    <row r="77" spans="1:26">
      <c r="B77" s="629">
        <v>580</v>
      </c>
      <c r="C77" s="637"/>
      <c r="D77" s="629">
        <v>581</v>
      </c>
      <c r="E77" s="637"/>
      <c r="F77" s="640">
        <v>5839</v>
      </c>
      <c r="G77" s="629" t="s">
        <v>900</v>
      </c>
      <c r="H77" s="630">
        <v>0</v>
      </c>
      <c r="M77" s="630">
        <f t="shared" si="14"/>
        <v>0</v>
      </c>
      <c r="N77" s="630">
        <v>0</v>
      </c>
      <c r="O77" s="630" t="s">
        <v>1228</v>
      </c>
      <c r="P77" s="630">
        <v>1</v>
      </c>
      <c r="Q77" s="630" t="s">
        <v>1229</v>
      </c>
      <c r="U77" s="630">
        <f t="shared" si="15"/>
        <v>0</v>
      </c>
      <c r="W77" s="639"/>
      <c r="Y77" s="630">
        <v>0</v>
      </c>
      <c r="Z77" s="630">
        <f t="shared" si="16"/>
        <v>0</v>
      </c>
    </row>
    <row r="78" spans="1:26">
      <c r="B78" s="629">
        <v>580</v>
      </c>
      <c r="C78" s="637"/>
      <c r="D78" s="629">
        <v>581</v>
      </c>
      <c r="E78" s="637"/>
      <c r="F78" s="640">
        <v>5841</v>
      </c>
      <c r="G78" s="629" t="s">
        <v>1314</v>
      </c>
      <c r="H78" s="630">
        <v>1640.5</v>
      </c>
      <c r="M78" s="630">
        <f t="shared" si="14"/>
        <v>1640.5</v>
      </c>
      <c r="N78" s="630">
        <v>0</v>
      </c>
      <c r="O78" s="630" t="s">
        <v>1228</v>
      </c>
      <c r="P78" s="630">
        <v>1</v>
      </c>
      <c r="Q78" s="630" t="s">
        <v>1229</v>
      </c>
      <c r="T78" s="630">
        <v>-1640.5</v>
      </c>
      <c r="U78" s="630">
        <f t="shared" si="15"/>
        <v>0</v>
      </c>
      <c r="W78" s="639"/>
      <c r="Y78" s="630">
        <v>0</v>
      </c>
      <c r="Z78" s="630">
        <f t="shared" si="16"/>
        <v>0</v>
      </c>
    </row>
    <row r="79" spans="1:26">
      <c r="A79" s="629">
        <v>5</v>
      </c>
      <c r="B79" s="629" t="s">
        <v>1268</v>
      </c>
      <c r="C79" s="637" t="s">
        <v>1226</v>
      </c>
      <c r="D79" s="629" t="s">
        <v>1272</v>
      </c>
      <c r="E79" s="637" t="s">
        <v>1226</v>
      </c>
      <c r="F79" s="629" t="s">
        <v>1315</v>
      </c>
      <c r="G79" s="629" t="s">
        <v>1316</v>
      </c>
      <c r="H79" s="630">
        <v>-2200969.33</v>
      </c>
      <c r="I79" s="667">
        <v>2200969.33</v>
      </c>
      <c r="M79" s="630">
        <f t="shared" si="14"/>
        <v>0</v>
      </c>
      <c r="N79" s="630">
        <v>0</v>
      </c>
      <c r="O79" s="630" t="s">
        <v>1228</v>
      </c>
      <c r="P79" s="630">
        <v>1</v>
      </c>
      <c r="Q79" s="630" t="s">
        <v>1229</v>
      </c>
      <c r="T79" s="630">
        <v>0</v>
      </c>
      <c r="U79" s="630">
        <f t="shared" si="15"/>
        <v>0</v>
      </c>
      <c r="W79" s="639"/>
      <c r="Y79" s="630">
        <v>0</v>
      </c>
      <c r="Z79" s="630">
        <f t="shared" si="16"/>
        <v>0</v>
      </c>
    </row>
    <row r="80" spans="1:26" ht="6" customHeight="1">
      <c r="C80" s="637"/>
      <c r="E80" s="637"/>
      <c r="W80" s="639"/>
      <c r="Z80" s="630">
        <f t="shared" si="16"/>
        <v>0</v>
      </c>
    </row>
    <row r="81" spans="1:55">
      <c r="B81" s="629" t="s">
        <v>1231</v>
      </c>
      <c r="C81" s="637"/>
      <c r="E81" s="637"/>
      <c r="G81" s="629" t="s">
        <v>1317</v>
      </c>
      <c r="H81" s="642">
        <f t="shared" ref="H81:M81" si="17">SUM(H50:H80)</f>
        <v>-7908441.6599999983</v>
      </c>
      <c r="I81" s="668">
        <f t="shared" si="17"/>
        <v>8149717.7099999981</v>
      </c>
      <c r="J81" s="668">
        <f t="shared" si="17"/>
        <v>0</v>
      </c>
      <c r="K81" s="668">
        <f t="shared" si="17"/>
        <v>0</v>
      </c>
      <c r="L81" s="668">
        <f t="shared" si="17"/>
        <v>0</v>
      </c>
      <c r="M81" s="642">
        <f t="shared" si="17"/>
        <v>241276.0500000001</v>
      </c>
      <c r="N81" s="642">
        <f t="shared" ref="N81:T81" si="18">SUM(N50:N80)</f>
        <v>0</v>
      </c>
      <c r="O81" s="642">
        <f t="shared" si="18"/>
        <v>0</v>
      </c>
      <c r="P81" s="642">
        <f t="shared" si="18"/>
        <v>30</v>
      </c>
      <c r="Q81" s="642">
        <f t="shared" si="18"/>
        <v>0</v>
      </c>
      <c r="R81" s="642">
        <f t="shared" si="18"/>
        <v>0</v>
      </c>
      <c r="S81" s="642">
        <f t="shared" si="18"/>
        <v>0</v>
      </c>
      <c r="T81" s="642">
        <f t="shared" si="18"/>
        <v>-241276.04999999996</v>
      </c>
      <c r="U81" s="642">
        <f>SUM(U50:U80)</f>
        <v>1.1641532182693481E-10</v>
      </c>
      <c r="W81" s="639"/>
      <c r="Z81" s="630">
        <f t="shared" si="16"/>
        <v>-1.1641532182693481E-10</v>
      </c>
    </row>
    <row r="82" spans="1:55" ht="6" customHeight="1">
      <c r="C82" s="637"/>
      <c r="E82" s="637"/>
      <c r="W82" s="639"/>
      <c r="Z82" s="630">
        <f t="shared" si="16"/>
        <v>0</v>
      </c>
    </row>
    <row r="83" spans="1:55">
      <c r="B83" s="629" t="s">
        <v>1237</v>
      </c>
      <c r="C83" s="637"/>
      <c r="E83" s="637"/>
      <c r="G83" s="629" t="s">
        <v>1271</v>
      </c>
      <c r="H83" s="673">
        <f>H81+H48</f>
        <v>-7919441.6599999983</v>
      </c>
      <c r="I83" s="668">
        <f>I81+I48</f>
        <v>8159467.7099999981</v>
      </c>
      <c r="J83" s="668">
        <f>J81+J48</f>
        <v>0</v>
      </c>
      <c r="K83" s="668"/>
      <c r="L83" s="668">
        <f>L81+L48</f>
        <v>0</v>
      </c>
      <c r="M83" s="668">
        <f>M81+M48</f>
        <v>240026.0500000001</v>
      </c>
      <c r="N83" s="642">
        <f t="shared" ref="N83:T83" si="19">N81+N48</f>
        <v>0</v>
      </c>
      <c r="O83" s="642" t="e">
        <f t="shared" si="19"/>
        <v>#VALUE!</v>
      </c>
      <c r="P83" s="642">
        <f t="shared" si="19"/>
        <v>31</v>
      </c>
      <c r="Q83" s="642" t="e">
        <f t="shared" si="19"/>
        <v>#VALUE!</v>
      </c>
      <c r="R83" s="642">
        <f t="shared" si="19"/>
        <v>100036485.36000001</v>
      </c>
      <c r="S83" s="642">
        <f t="shared" si="19"/>
        <v>-168088.78999999166</v>
      </c>
      <c r="T83" s="642">
        <f t="shared" si="19"/>
        <v>-240026.04999999996</v>
      </c>
      <c r="U83" s="642">
        <f>U81+U48</f>
        <v>1.1641532182693481E-10</v>
      </c>
      <c r="W83" s="639"/>
      <c r="Z83" s="630">
        <f t="shared" si="16"/>
        <v>-1.1641532182693481E-10</v>
      </c>
    </row>
    <row r="84" spans="1:55" ht="6" customHeight="1">
      <c r="C84" s="637"/>
      <c r="E84" s="637"/>
      <c r="W84" s="639"/>
      <c r="Z84" s="630">
        <f t="shared" si="16"/>
        <v>0</v>
      </c>
    </row>
    <row r="85" spans="1:55" s="674" customFormat="1">
      <c r="A85" s="674">
        <v>5</v>
      </c>
      <c r="B85" s="674" t="s">
        <v>1318</v>
      </c>
      <c r="C85" s="675" t="s">
        <v>1226</v>
      </c>
      <c r="D85" s="674" t="s">
        <v>1318</v>
      </c>
      <c r="E85" s="675" t="s">
        <v>1226</v>
      </c>
      <c r="F85" s="674" t="s">
        <v>1319</v>
      </c>
      <c r="G85" s="674" t="s">
        <v>1320</v>
      </c>
      <c r="H85" s="672">
        <v>-704172.19</v>
      </c>
      <c r="I85" s="667"/>
      <c r="J85" s="667"/>
      <c r="K85" s="667"/>
      <c r="L85" s="667"/>
      <c r="M85" s="667">
        <f t="shared" ref="M85:M104" si="20">H85+I85+L85</f>
        <v>-704172.19</v>
      </c>
      <c r="N85" s="667">
        <v>879662.85</v>
      </c>
      <c r="O85" s="667" t="s">
        <v>1228</v>
      </c>
      <c r="P85" s="667">
        <v>4</v>
      </c>
      <c r="Q85" s="667" t="s">
        <v>1321</v>
      </c>
      <c r="R85" s="667"/>
      <c r="S85" s="667"/>
      <c r="T85" s="667">
        <v>-703181.35</v>
      </c>
      <c r="U85" s="667">
        <f t="shared" ref="U85:U104" si="21">+M85+N85+T85</f>
        <v>-527690.68999999994</v>
      </c>
      <c r="W85" s="676"/>
      <c r="X85" s="667"/>
      <c r="Y85" s="667"/>
      <c r="Z85" s="667">
        <f t="shared" si="16"/>
        <v>527690.68999999994</v>
      </c>
      <c r="AA85" s="630"/>
      <c r="AB85" s="630"/>
      <c r="AC85" s="630"/>
      <c r="AD85" s="630"/>
      <c r="AE85" s="630"/>
      <c r="AF85" s="630"/>
      <c r="AG85" s="630"/>
      <c r="AH85" s="630"/>
      <c r="AI85" s="667"/>
      <c r="AJ85" s="667"/>
      <c r="AK85" s="667"/>
      <c r="AL85" s="667"/>
      <c r="AM85" s="667"/>
      <c r="AN85" s="667"/>
      <c r="AO85" s="667"/>
      <c r="AP85" s="667"/>
      <c r="AQ85" s="667"/>
      <c r="AR85" s="667"/>
      <c r="AS85" s="667"/>
      <c r="AT85" s="667"/>
      <c r="AU85" s="667"/>
      <c r="AV85" s="667"/>
      <c r="AW85" s="667"/>
      <c r="AX85" s="667"/>
      <c r="AY85" s="667"/>
      <c r="AZ85" s="667"/>
      <c r="BA85" s="667"/>
      <c r="BB85" s="667"/>
      <c r="BC85" s="667"/>
    </row>
    <row r="86" spans="1:55" s="674" customFormat="1">
      <c r="A86" s="674">
        <v>5</v>
      </c>
      <c r="B86" s="674" t="s">
        <v>1318</v>
      </c>
      <c r="C86" s="675" t="s">
        <v>1226</v>
      </c>
      <c r="D86" s="674" t="s">
        <v>1318</v>
      </c>
      <c r="E86" s="675" t="s">
        <v>1226</v>
      </c>
      <c r="F86" s="674" t="s">
        <v>1322</v>
      </c>
      <c r="G86" s="674" t="s">
        <v>1323</v>
      </c>
      <c r="H86" s="667">
        <v>0</v>
      </c>
      <c r="I86" s="667"/>
      <c r="J86" s="667"/>
      <c r="K86" s="667"/>
      <c r="L86" s="667"/>
      <c r="M86" s="667">
        <f t="shared" si="20"/>
        <v>0</v>
      </c>
      <c r="N86" s="667">
        <v>0</v>
      </c>
      <c r="O86" s="667" t="s">
        <v>1228</v>
      </c>
      <c r="P86" s="667">
        <v>4</v>
      </c>
      <c r="Q86" s="667" t="s">
        <v>1321</v>
      </c>
      <c r="R86" s="667"/>
      <c r="S86" s="667"/>
      <c r="T86" s="667"/>
      <c r="U86" s="667">
        <f t="shared" si="21"/>
        <v>0</v>
      </c>
      <c r="W86" s="676"/>
      <c r="X86" s="667"/>
      <c r="Y86" s="667"/>
      <c r="Z86" s="667">
        <f t="shared" si="16"/>
        <v>0</v>
      </c>
      <c r="AA86" s="630"/>
      <c r="AB86" s="630"/>
      <c r="AC86" s="630"/>
      <c r="AD86" s="630">
        <v>1225539.01</v>
      </c>
      <c r="AE86" s="630">
        <v>1225539.01</v>
      </c>
      <c r="AF86" s="630"/>
      <c r="AG86" s="630"/>
      <c r="AH86" s="630"/>
      <c r="AI86" s="667"/>
      <c r="AJ86" s="667"/>
      <c r="AK86" s="667"/>
      <c r="AL86" s="667"/>
      <c r="AM86" s="667"/>
      <c r="AN86" s="667"/>
      <c r="AO86" s="667"/>
      <c r="AP86" s="667"/>
      <c r="AQ86" s="667"/>
      <c r="AR86" s="667"/>
      <c r="AS86" s="667"/>
      <c r="AT86" s="667"/>
      <c r="AU86" s="667"/>
      <c r="AV86" s="667"/>
      <c r="AW86" s="667"/>
      <c r="AX86" s="667"/>
      <c r="AY86" s="667"/>
      <c r="AZ86" s="667"/>
      <c r="BA86" s="667"/>
      <c r="BB86" s="667"/>
      <c r="BC86" s="667"/>
    </row>
    <row r="87" spans="1:55" s="674" customFormat="1">
      <c r="A87" s="674">
        <v>5</v>
      </c>
      <c r="B87" s="674" t="s">
        <v>1318</v>
      </c>
      <c r="C87" s="675" t="s">
        <v>1226</v>
      </c>
      <c r="D87" s="674" t="s">
        <v>1318</v>
      </c>
      <c r="E87" s="675" t="s">
        <v>1226</v>
      </c>
      <c r="F87" s="674" t="s">
        <v>1324</v>
      </c>
      <c r="G87" s="674" t="s">
        <v>1325</v>
      </c>
      <c r="H87" s="667">
        <v>0</v>
      </c>
      <c r="I87" s="667"/>
      <c r="J87" s="667"/>
      <c r="K87" s="667"/>
      <c r="L87" s="667"/>
      <c r="M87" s="667">
        <f t="shared" si="20"/>
        <v>0</v>
      </c>
      <c r="N87" s="667">
        <v>0</v>
      </c>
      <c r="O87" s="667" t="s">
        <v>1228</v>
      </c>
      <c r="P87" s="667">
        <v>4</v>
      </c>
      <c r="Q87" s="667" t="s">
        <v>1321</v>
      </c>
      <c r="R87" s="667"/>
      <c r="S87" s="667"/>
      <c r="T87" s="667"/>
      <c r="U87" s="667">
        <f t="shared" si="21"/>
        <v>0</v>
      </c>
      <c r="W87" s="676"/>
      <c r="X87" s="667"/>
      <c r="Y87" s="667"/>
      <c r="Z87" s="667">
        <f t="shared" si="16"/>
        <v>0</v>
      </c>
      <c r="AA87" s="630"/>
      <c r="AB87" s="630"/>
      <c r="AC87" s="630"/>
      <c r="AD87" s="630"/>
      <c r="AE87" s="630">
        <v>8122463.8099999996</v>
      </c>
      <c r="AF87" s="630"/>
      <c r="AG87" s="630"/>
      <c r="AH87" s="630"/>
      <c r="AI87" s="667"/>
      <c r="AJ87" s="667"/>
      <c r="AK87" s="667"/>
      <c r="AL87" s="667"/>
      <c r="AM87" s="667"/>
      <c r="AN87" s="667"/>
      <c r="AO87" s="667"/>
      <c r="AP87" s="667"/>
      <c r="AQ87" s="667"/>
      <c r="AR87" s="667"/>
      <c r="AS87" s="667"/>
      <c r="AT87" s="667"/>
      <c r="AU87" s="667"/>
      <c r="AV87" s="667"/>
      <c r="AW87" s="667"/>
      <c r="AX87" s="667"/>
      <c r="AY87" s="667"/>
      <c r="AZ87" s="667"/>
      <c r="BA87" s="667"/>
      <c r="BB87" s="667"/>
      <c r="BC87" s="667"/>
    </row>
    <row r="88" spans="1:55" s="674" customFormat="1">
      <c r="A88" s="674">
        <v>5</v>
      </c>
      <c r="B88" s="674" t="s">
        <v>1318</v>
      </c>
      <c r="C88" s="675" t="s">
        <v>1226</v>
      </c>
      <c r="D88" s="674" t="s">
        <v>1318</v>
      </c>
      <c r="E88" s="675" t="s">
        <v>1226</v>
      </c>
      <c r="F88" s="674" t="s">
        <v>1326</v>
      </c>
      <c r="G88" s="674" t="s">
        <v>1327</v>
      </c>
      <c r="H88" s="667">
        <v>0</v>
      </c>
      <c r="I88" s="667"/>
      <c r="J88" s="667"/>
      <c r="K88" s="667"/>
      <c r="L88" s="667"/>
      <c r="M88" s="667">
        <f t="shared" si="20"/>
        <v>0</v>
      </c>
      <c r="N88" s="667">
        <v>0</v>
      </c>
      <c r="O88" s="667" t="s">
        <v>1228</v>
      </c>
      <c r="P88" s="667">
        <v>4</v>
      </c>
      <c r="Q88" s="667" t="s">
        <v>1321</v>
      </c>
      <c r="R88" s="667"/>
      <c r="S88" s="667"/>
      <c r="T88" s="667"/>
      <c r="U88" s="667">
        <f t="shared" si="21"/>
        <v>0</v>
      </c>
      <c r="W88" s="676"/>
      <c r="X88" s="667"/>
      <c r="Y88" s="667"/>
      <c r="Z88" s="667">
        <f t="shared" si="16"/>
        <v>0</v>
      </c>
      <c r="AA88" s="630"/>
      <c r="AB88" s="630"/>
      <c r="AC88" s="630"/>
      <c r="AD88" s="630">
        <v>-1016202.54</v>
      </c>
      <c r="AE88" s="630">
        <v>-1016202.54</v>
      </c>
      <c r="AF88" s="630"/>
      <c r="AG88" s="630"/>
      <c r="AH88" s="630"/>
      <c r="AI88" s="667"/>
      <c r="AJ88" s="667"/>
      <c r="AK88" s="667"/>
      <c r="AL88" s="667"/>
      <c r="AM88" s="667"/>
      <c r="AN88" s="667"/>
      <c r="AO88" s="667"/>
      <c r="AP88" s="667"/>
      <c r="AQ88" s="667"/>
      <c r="AR88" s="667"/>
      <c r="AS88" s="667"/>
      <c r="AT88" s="667"/>
      <c r="AU88" s="667"/>
      <c r="AV88" s="667"/>
      <c r="AW88" s="667"/>
      <c r="AX88" s="667"/>
      <c r="AY88" s="667"/>
      <c r="AZ88" s="667"/>
      <c r="BA88" s="667"/>
      <c r="BB88" s="667"/>
      <c r="BC88" s="667"/>
    </row>
    <row r="89" spans="1:55" s="674" customFormat="1">
      <c r="A89" s="674">
        <v>5</v>
      </c>
      <c r="B89" s="674" t="s">
        <v>1318</v>
      </c>
      <c r="C89" s="675" t="s">
        <v>1226</v>
      </c>
      <c r="D89" s="674" t="s">
        <v>1318</v>
      </c>
      <c r="E89" s="675" t="s">
        <v>1226</v>
      </c>
      <c r="F89" s="674" t="s">
        <v>1328</v>
      </c>
      <c r="G89" s="674" t="s">
        <v>1329</v>
      </c>
      <c r="H89" s="672">
        <v>-10000</v>
      </c>
      <c r="I89" s="667"/>
      <c r="J89" s="667"/>
      <c r="K89" s="667"/>
      <c r="L89" s="667"/>
      <c r="M89" s="667">
        <f t="shared" si="20"/>
        <v>-10000</v>
      </c>
      <c r="N89" s="667">
        <v>10000</v>
      </c>
      <c r="O89" s="667" t="s">
        <v>1228</v>
      </c>
      <c r="P89" s="667">
        <v>4</v>
      </c>
      <c r="Q89" s="667" t="s">
        <v>1321</v>
      </c>
      <c r="R89" s="667"/>
      <c r="S89" s="667"/>
      <c r="T89" s="667"/>
      <c r="U89" s="667">
        <f t="shared" si="21"/>
        <v>0</v>
      </c>
      <c r="W89" s="676"/>
      <c r="X89" s="667"/>
      <c r="Y89" s="667"/>
      <c r="Z89" s="667">
        <f t="shared" si="16"/>
        <v>0</v>
      </c>
      <c r="AA89" s="630"/>
      <c r="AB89" s="630"/>
      <c r="AC89" s="630"/>
      <c r="AD89" s="630">
        <v>-1327936.83</v>
      </c>
      <c r="AE89" s="630">
        <v>-1327936.83</v>
      </c>
      <c r="AF89" s="630"/>
      <c r="AG89" s="630"/>
      <c r="AH89" s="630"/>
      <c r="AI89" s="667"/>
      <c r="AJ89" s="667"/>
      <c r="AK89" s="667"/>
      <c r="AL89" s="667"/>
      <c r="AM89" s="667"/>
      <c r="AN89" s="667"/>
      <c r="AO89" s="667"/>
      <c r="AP89" s="667"/>
      <c r="AQ89" s="667"/>
      <c r="AR89" s="667"/>
      <c r="AS89" s="667"/>
      <c r="AT89" s="667"/>
      <c r="AU89" s="667"/>
      <c r="AV89" s="667"/>
      <c r="AW89" s="667"/>
      <c r="AX89" s="667"/>
      <c r="AY89" s="667"/>
      <c r="AZ89" s="667"/>
      <c r="BA89" s="667"/>
      <c r="BB89" s="667"/>
      <c r="BC89" s="667"/>
    </row>
    <row r="90" spans="1:55" s="674" customFormat="1">
      <c r="A90" s="674">
        <v>5</v>
      </c>
      <c r="B90" s="674" t="s">
        <v>1318</v>
      </c>
      <c r="C90" s="675" t="s">
        <v>1226</v>
      </c>
      <c r="D90" s="674" t="s">
        <v>1318</v>
      </c>
      <c r="E90" s="675" t="s">
        <v>1226</v>
      </c>
      <c r="F90" s="674" t="s">
        <v>1330</v>
      </c>
      <c r="G90" s="674" t="s">
        <v>1331</v>
      </c>
      <c r="H90" s="672">
        <v>-2756180.69</v>
      </c>
      <c r="I90" s="667"/>
      <c r="J90" s="667"/>
      <c r="K90" s="667"/>
      <c r="L90" s="667"/>
      <c r="M90" s="667">
        <f t="shared" si="20"/>
        <v>-2756180.69</v>
      </c>
      <c r="N90" s="667">
        <v>963243.49</v>
      </c>
      <c r="O90" s="667" t="s">
        <v>1228</v>
      </c>
      <c r="P90" s="667">
        <v>4</v>
      </c>
      <c r="Q90" s="667" t="s">
        <v>1321</v>
      </c>
      <c r="R90" s="667"/>
      <c r="S90" s="667"/>
      <c r="T90" s="667">
        <v>0</v>
      </c>
      <c r="U90" s="667">
        <f t="shared" si="21"/>
        <v>-1792937.2</v>
      </c>
      <c r="W90" s="676"/>
      <c r="X90" s="667"/>
      <c r="Y90" s="667"/>
      <c r="Z90" s="667">
        <f t="shared" si="16"/>
        <v>1792937.2</v>
      </c>
      <c r="AA90" s="630"/>
      <c r="AB90" s="630"/>
      <c r="AC90" s="630"/>
      <c r="AD90" s="630"/>
      <c r="AE90" s="630">
        <v>42729683.009999998</v>
      </c>
      <c r="AF90" s="630"/>
      <c r="AG90" s="630"/>
      <c r="AH90" s="630"/>
      <c r="AI90" s="667"/>
      <c r="AJ90" s="667"/>
      <c r="AK90" s="667"/>
      <c r="AL90" s="667"/>
      <c r="AM90" s="667"/>
      <c r="AN90" s="667"/>
      <c r="AO90" s="667"/>
      <c r="AP90" s="667"/>
      <c r="AQ90" s="667"/>
      <c r="AR90" s="667"/>
      <c r="AS90" s="667"/>
      <c r="AT90" s="667"/>
      <c r="AU90" s="667"/>
      <c r="AV90" s="667"/>
      <c r="AW90" s="667"/>
      <c r="AX90" s="667"/>
      <c r="AY90" s="667"/>
      <c r="AZ90" s="667"/>
      <c r="BA90" s="667"/>
      <c r="BB90" s="667"/>
      <c r="BC90" s="667"/>
    </row>
    <row r="91" spans="1:55" s="674" customFormat="1">
      <c r="A91" s="674">
        <v>5</v>
      </c>
      <c r="B91" s="674" t="s">
        <v>1318</v>
      </c>
      <c r="C91" s="675" t="s">
        <v>1226</v>
      </c>
      <c r="D91" s="674" t="s">
        <v>1318</v>
      </c>
      <c r="E91" s="675" t="s">
        <v>1226</v>
      </c>
      <c r="F91" s="674" t="s">
        <v>1332</v>
      </c>
      <c r="G91" s="674" t="s">
        <v>1333</v>
      </c>
      <c r="H91" s="672">
        <v>-19868.04</v>
      </c>
      <c r="I91" s="667"/>
      <c r="J91" s="667"/>
      <c r="K91" s="667"/>
      <c r="L91" s="667"/>
      <c r="M91" s="667">
        <f t="shared" si="20"/>
        <v>-19868.04</v>
      </c>
      <c r="N91" s="667">
        <v>19868.04</v>
      </c>
      <c r="O91" s="667" t="s">
        <v>1228</v>
      </c>
      <c r="P91" s="667">
        <v>4</v>
      </c>
      <c r="Q91" s="667" t="s">
        <v>1321</v>
      </c>
      <c r="R91" s="667"/>
      <c r="S91" s="667"/>
      <c r="T91" s="667"/>
      <c r="U91" s="667">
        <f t="shared" si="21"/>
        <v>0</v>
      </c>
      <c r="W91" s="676"/>
      <c r="X91" s="667"/>
      <c r="Y91" s="667"/>
      <c r="Z91" s="667">
        <f t="shared" si="16"/>
        <v>0</v>
      </c>
      <c r="AA91" s="630"/>
      <c r="AB91" s="630"/>
      <c r="AC91" s="630"/>
      <c r="AD91" s="630">
        <v>2652276.58</v>
      </c>
      <c r="AE91" s="630">
        <v>2652276.58</v>
      </c>
      <c r="AF91" s="630"/>
      <c r="AG91" s="630"/>
      <c r="AH91" s="630"/>
      <c r="AI91" s="667"/>
      <c r="AJ91" s="667"/>
      <c r="AK91" s="667"/>
      <c r="AL91" s="667"/>
      <c r="AM91" s="667"/>
      <c r="AN91" s="667"/>
      <c r="AO91" s="667"/>
      <c r="AP91" s="667"/>
      <c r="AQ91" s="667"/>
      <c r="AR91" s="667"/>
      <c r="AS91" s="667"/>
      <c r="AT91" s="667"/>
      <c r="AU91" s="667"/>
      <c r="AV91" s="667"/>
      <c r="AW91" s="667"/>
      <c r="AX91" s="667"/>
      <c r="AY91" s="667"/>
      <c r="AZ91" s="667"/>
      <c r="BA91" s="667"/>
      <c r="BB91" s="667"/>
      <c r="BC91" s="667"/>
    </row>
    <row r="92" spans="1:55" s="674" customFormat="1">
      <c r="A92" s="674">
        <v>5</v>
      </c>
      <c r="B92" s="674" t="s">
        <v>1318</v>
      </c>
      <c r="C92" s="675" t="s">
        <v>1226</v>
      </c>
      <c r="D92" s="674" t="s">
        <v>1318</v>
      </c>
      <c r="E92" s="675" t="s">
        <v>1226</v>
      </c>
      <c r="F92" s="674" t="s">
        <v>1334</v>
      </c>
      <c r="G92" s="674" t="s">
        <v>1335</v>
      </c>
      <c r="H92" s="672">
        <v>-403522.09</v>
      </c>
      <c r="I92" s="667"/>
      <c r="J92" s="667"/>
      <c r="K92" s="667"/>
      <c r="L92" s="667"/>
      <c r="M92" s="667">
        <f t="shared" si="20"/>
        <v>-403522.09</v>
      </c>
      <c r="N92" s="667">
        <v>78860.61</v>
      </c>
      <c r="O92" s="667" t="s">
        <v>1228</v>
      </c>
      <c r="P92" s="667">
        <v>4</v>
      </c>
      <c r="Q92" s="667" t="s">
        <v>1321</v>
      </c>
      <c r="R92" s="667"/>
      <c r="S92" s="667"/>
      <c r="T92" s="667"/>
      <c r="U92" s="667">
        <f t="shared" si="21"/>
        <v>-324661.48000000004</v>
      </c>
      <c r="W92" s="676"/>
      <c r="X92" s="667"/>
      <c r="Y92" s="667"/>
      <c r="Z92" s="667">
        <f t="shared" si="16"/>
        <v>324661.48000000004</v>
      </c>
      <c r="AA92" s="630"/>
      <c r="AB92" s="630"/>
      <c r="AC92" s="630"/>
      <c r="AD92" s="630">
        <f>SUM(AD86:AD91)</f>
        <v>1533676.22</v>
      </c>
      <c r="AE92" s="630">
        <f>SUM(AE86:AE91)</f>
        <v>52385823.039999999</v>
      </c>
      <c r="AF92" s="630"/>
      <c r="AG92" s="630"/>
      <c r="AH92" s="630"/>
      <c r="AI92" s="667"/>
      <c r="AJ92" s="667"/>
      <c r="AK92" s="667"/>
      <c r="AL92" s="667"/>
      <c r="AM92" s="667"/>
      <c r="AN92" s="667"/>
      <c r="AO92" s="667"/>
      <c r="AP92" s="667"/>
      <c r="AQ92" s="667"/>
      <c r="AR92" s="667"/>
      <c r="AS92" s="667"/>
      <c r="AT92" s="667"/>
      <c r="AU92" s="667"/>
      <c r="AV92" s="667"/>
      <c r="AW92" s="667"/>
      <c r="AX92" s="667"/>
      <c r="AY92" s="667"/>
      <c r="AZ92" s="667"/>
      <c r="BA92" s="667"/>
      <c r="BB92" s="667"/>
      <c r="BC92" s="667"/>
    </row>
    <row r="93" spans="1:55" s="674" customFormat="1">
      <c r="A93" s="674">
        <v>5</v>
      </c>
      <c r="B93" s="674" t="s">
        <v>1318</v>
      </c>
      <c r="C93" s="675" t="s">
        <v>1226</v>
      </c>
      <c r="D93" s="674" t="s">
        <v>1318</v>
      </c>
      <c r="E93" s="675" t="s">
        <v>1226</v>
      </c>
      <c r="F93" s="674" t="s">
        <v>1336</v>
      </c>
      <c r="G93" s="674" t="s">
        <v>1337</v>
      </c>
      <c r="H93" s="672">
        <v>-951281.16</v>
      </c>
      <c r="I93" s="667"/>
      <c r="J93" s="667"/>
      <c r="K93" s="667"/>
      <c r="L93" s="667"/>
      <c r="M93" s="667">
        <f t="shared" si="20"/>
        <v>-951281.16</v>
      </c>
      <c r="N93" s="667">
        <v>21017.01</v>
      </c>
      <c r="O93" s="667" t="s">
        <v>1228</v>
      </c>
      <c r="P93" s="667">
        <v>0</v>
      </c>
      <c r="Q93" s="667" t="s">
        <v>1321</v>
      </c>
      <c r="R93" s="667"/>
      <c r="S93" s="667"/>
      <c r="T93" s="667"/>
      <c r="U93" s="667">
        <f t="shared" si="21"/>
        <v>-930264.15</v>
      </c>
      <c r="W93" s="676"/>
      <c r="X93" s="667"/>
      <c r="Y93" s="667"/>
      <c r="Z93" s="667">
        <f t="shared" si="16"/>
        <v>930264.15</v>
      </c>
      <c r="AA93" s="630"/>
      <c r="AB93" s="630"/>
      <c r="AC93" s="630"/>
      <c r="AD93" s="630"/>
      <c r="AE93" s="630"/>
      <c r="AF93" s="630"/>
      <c r="AG93" s="630"/>
      <c r="AH93" s="630"/>
      <c r="AI93" s="667"/>
      <c r="AJ93" s="667"/>
      <c r="AK93" s="667"/>
      <c r="AL93" s="667"/>
      <c r="AM93" s="667"/>
      <c r="AN93" s="667"/>
      <c r="AO93" s="667"/>
      <c r="AP93" s="667"/>
      <c r="AQ93" s="667"/>
      <c r="AR93" s="667"/>
      <c r="AS93" s="667"/>
      <c r="AT93" s="667"/>
      <c r="AU93" s="667"/>
      <c r="AV93" s="667"/>
      <c r="AW93" s="667"/>
      <c r="AX93" s="667"/>
      <c r="AY93" s="667"/>
      <c r="AZ93" s="667"/>
      <c r="BA93" s="667"/>
      <c r="BB93" s="667"/>
      <c r="BC93" s="667"/>
    </row>
    <row r="94" spans="1:55" s="674" customFormat="1">
      <c r="A94" s="674">
        <v>5</v>
      </c>
      <c r="B94" s="674" t="s">
        <v>1318</v>
      </c>
      <c r="C94" s="675" t="s">
        <v>1226</v>
      </c>
      <c r="D94" s="674" t="s">
        <v>1318</v>
      </c>
      <c r="E94" s="675" t="s">
        <v>1226</v>
      </c>
      <c r="F94" s="674" t="s">
        <v>1338</v>
      </c>
      <c r="G94" s="674" t="s">
        <v>1339</v>
      </c>
      <c r="H94" s="667">
        <v>0</v>
      </c>
      <c r="I94" s="667"/>
      <c r="J94" s="667"/>
      <c r="K94" s="667"/>
      <c r="L94" s="667"/>
      <c r="M94" s="667">
        <f t="shared" si="20"/>
        <v>0</v>
      </c>
      <c r="N94" s="667">
        <v>0</v>
      </c>
      <c r="O94" s="667" t="s">
        <v>1228</v>
      </c>
      <c r="P94" s="667">
        <v>4</v>
      </c>
      <c r="Q94" s="667" t="s">
        <v>1321</v>
      </c>
      <c r="R94" s="667"/>
      <c r="S94" s="667"/>
      <c r="T94" s="667"/>
      <c r="U94" s="667">
        <f t="shared" si="21"/>
        <v>0</v>
      </c>
      <c r="W94" s="676"/>
      <c r="X94" s="667"/>
      <c r="Y94" s="667"/>
      <c r="Z94" s="667">
        <f t="shared" si="16"/>
        <v>0</v>
      </c>
      <c r="AA94" s="630"/>
      <c r="AB94" s="630"/>
      <c r="AC94" s="630"/>
      <c r="AD94" s="630"/>
      <c r="AE94" s="630"/>
      <c r="AF94" s="630"/>
      <c r="AG94" s="630"/>
      <c r="AH94" s="630"/>
      <c r="AI94" s="667"/>
      <c r="AJ94" s="667"/>
      <c r="AK94" s="667"/>
      <c r="AL94" s="667"/>
      <c r="AM94" s="667"/>
      <c r="AN94" s="667"/>
      <c r="AO94" s="667"/>
      <c r="AP94" s="667"/>
      <c r="AQ94" s="667"/>
      <c r="AR94" s="667"/>
      <c r="AS94" s="667"/>
      <c r="AT94" s="667"/>
      <c r="AU94" s="667"/>
      <c r="AV94" s="667"/>
      <c r="AW94" s="667"/>
      <c r="AX94" s="667"/>
      <c r="AY94" s="667"/>
      <c r="AZ94" s="667"/>
      <c r="BA94" s="667"/>
      <c r="BB94" s="667"/>
      <c r="BC94" s="667"/>
    </row>
    <row r="95" spans="1:55" s="674" customFormat="1">
      <c r="A95" s="674">
        <v>5</v>
      </c>
      <c r="B95" s="674" t="s">
        <v>1318</v>
      </c>
      <c r="C95" s="675" t="s">
        <v>1226</v>
      </c>
      <c r="D95" s="674" t="s">
        <v>1318</v>
      </c>
      <c r="E95" s="675" t="s">
        <v>1226</v>
      </c>
      <c r="F95" s="674" t="s">
        <v>1340</v>
      </c>
      <c r="G95" s="674" t="s">
        <v>1341</v>
      </c>
      <c r="H95" s="667">
        <v>0</v>
      </c>
      <c r="I95" s="667"/>
      <c r="J95" s="667"/>
      <c r="K95" s="667"/>
      <c r="L95" s="667"/>
      <c r="M95" s="667">
        <f t="shared" si="20"/>
        <v>0</v>
      </c>
      <c r="N95" s="667">
        <v>0</v>
      </c>
      <c r="O95" s="667" t="s">
        <v>1228</v>
      </c>
      <c r="P95" s="667">
        <v>4</v>
      </c>
      <c r="Q95" s="667" t="s">
        <v>1321</v>
      </c>
      <c r="R95" s="667"/>
      <c r="S95" s="667"/>
      <c r="T95" s="667"/>
      <c r="U95" s="667">
        <f t="shared" si="21"/>
        <v>0</v>
      </c>
      <c r="W95" s="676"/>
      <c r="X95" s="667"/>
      <c r="Y95" s="667"/>
      <c r="Z95" s="667">
        <f t="shared" si="16"/>
        <v>0</v>
      </c>
      <c r="AA95" s="630"/>
      <c r="AB95" s="630"/>
      <c r="AC95" s="630"/>
      <c r="AD95" s="630"/>
      <c r="AE95" s="630"/>
      <c r="AF95" s="630"/>
      <c r="AG95" s="630"/>
      <c r="AH95" s="630"/>
      <c r="AI95" s="667"/>
      <c r="AJ95" s="667"/>
      <c r="AK95" s="667"/>
      <c r="AL95" s="667"/>
      <c r="AM95" s="667"/>
      <c r="AN95" s="667"/>
      <c r="AO95" s="667"/>
      <c r="AP95" s="667"/>
      <c r="AQ95" s="667"/>
      <c r="AR95" s="667"/>
      <c r="AS95" s="667"/>
      <c r="AT95" s="667"/>
      <c r="AU95" s="667"/>
      <c r="AV95" s="667"/>
      <c r="AW95" s="667"/>
      <c r="AX95" s="667"/>
      <c r="AY95" s="667"/>
      <c r="AZ95" s="667"/>
      <c r="BA95" s="667"/>
      <c r="BB95" s="667"/>
      <c r="BC95" s="667"/>
    </row>
    <row r="96" spans="1:55" s="674" customFormat="1">
      <c r="A96" s="674">
        <v>5</v>
      </c>
      <c r="B96" s="674" t="s">
        <v>1318</v>
      </c>
      <c r="C96" s="675" t="s">
        <v>1226</v>
      </c>
      <c r="D96" s="674" t="s">
        <v>1318</v>
      </c>
      <c r="E96" s="675" t="s">
        <v>1226</v>
      </c>
      <c r="F96" s="674" t="s">
        <v>1342</v>
      </c>
      <c r="G96" s="674" t="s">
        <v>1343</v>
      </c>
      <c r="H96" s="672">
        <v>-420630.21</v>
      </c>
      <c r="I96" s="667"/>
      <c r="J96" s="667"/>
      <c r="K96" s="667"/>
      <c r="L96" s="667"/>
      <c r="M96" s="667">
        <f t="shared" si="20"/>
        <v>-420630.21</v>
      </c>
      <c r="N96" s="667">
        <v>78715.210000000006</v>
      </c>
      <c r="O96" s="667" t="s">
        <v>1228</v>
      </c>
      <c r="P96" s="667">
        <v>4</v>
      </c>
      <c r="Q96" s="667" t="s">
        <v>1321</v>
      </c>
      <c r="R96" s="667"/>
      <c r="S96" s="667"/>
      <c r="T96" s="667"/>
      <c r="U96" s="667">
        <f t="shared" si="21"/>
        <v>-341915</v>
      </c>
      <c r="W96" s="676"/>
      <c r="X96" s="667"/>
      <c r="Y96" s="667"/>
      <c r="Z96" s="667">
        <f t="shared" si="16"/>
        <v>341915</v>
      </c>
      <c r="AA96" s="630"/>
      <c r="AB96" s="630"/>
      <c r="AC96" s="630"/>
      <c r="AD96" s="630"/>
      <c r="AE96" s="630"/>
      <c r="AF96" s="630"/>
      <c r="AG96" s="630"/>
      <c r="AH96" s="630"/>
      <c r="AI96" s="667"/>
      <c r="AJ96" s="667"/>
      <c r="AK96" s="667"/>
      <c r="AL96" s="667"/>
      <c r="AM96" s="667"/>
      <c r="AN96" s="667"/>
      <c r="AO96" s="667"/>
      <c r="AP96" s="667"/>
      <c r="AQ96" s="667"/>
      <c r="AR96" s="667"/>
      <c r="AS96" s="667"/>
      <c r="AT96" s="667"/>
      <c r="AU96" s="667"/>
      <c r="AV96" s="667"/>
      <c r="AW96" s="667"/>
      <c r="AX96" s="667"/>
      <c r="AY96" s="667"/>
      <c r="AZ96" s="667"/>
      <c r="BA96" s="667"/>
      <c r="BB96" s="667"/>
      <c r="BC96" s="667"/>
    </row>
    <row r="97" spans="1:55" s="674" customFormat="1">
      <c r="A97" s="674">
        <v>5</v>
      </c>
      <c r="B97" s="674" t="s">
        <v>1318</v>
      </c>
      <c r="C97" s="675" t="s">
        <v>1226</v>
      </c>
      <c r="D97" s="674" t="s">
        <v>1318</v>
      </c>
      <c r="E97" s="675" t="s">
        <v>1226</v>
      </c>
      <c r="F97" s="674" t="s">
        <v>1344</v>
      </c>
      <c r="G97" s="674" t="s">
        <v>1345</v>
      </c>
      <c r="H97" s="667">
        <v>0</v>
      </c>
      <c r="I97" s="667"/>
      <c r="J97" s="667"/>
      <c r="K97" s="667"/>
      <c r="L97" s="667"/>
      <c r="M97" s="667">
        <f t="shared" si="20"/>
        <v>0</v>
      </c>
      <c r="N97" s="667">
        <v>0</v>
      </c>
      <c r="O97" s="667" t="s">
        <v>1228</v>
      </c>
      <c r="P97" s="667">
        <v>0</v>
      </c>
      <c r="Q97" s="667" t="s">
        <v>1321</v>
      </c>
      <c r="R97" s="667"/>
      <c r="S97" s="667"/>
      <c r="T97" s="667"/>
      <c r="U97" s="667">
        <f t="shared" si="21"/>
        <v>0</v>
      </c>
      <c r="W97" s="676"/>
      <c r="X97" s="667"/>
      <c r="Y97" s="667"/>
      <c r="Z97" s="667">
        <f t="shared" si="16"/>
        <v>0</v>
      </c>
      <c r="AA97" s="630"/>
      <c r="AB97" s="630"/>
      <c r="AC97" s="630"/>
      <c r="AD97" s="630"/>
      <c r="AE97" s="630"/>
      <c r="AF97" s="630"/>
      <c r="AG97" s="630"/>
      <c r="AH97" s="630"/>
      <c r="AI97" s="667"/>
      <c r="AJ97" s="667"/>
      <c r="AK97" s="667"/>
      <c r="AL97" s="667"/>
      <c r="AM97" s="667"/>
      <c r="AN97" s="667"/>
      <c r="AO97" s="667"/>
      <c r="AP97" s="667"/>
      <c r="AQ97" s="667"/>
      <c r="AR97" s="667"/>
      <c r="AS97" s="667"/>
      <c r="AT97" s="667"/>
      <c r="AU97" s="667"/>
      <c r="AV97" s="667"/>
      <c r="AW97" s="667"/>
      <c r="AX97" s="667"/>
      <c r="AY97" s="667"/>
      <c r="AZ97" s="667"/>
      <c r="BA97" s="667"/>
      <c r="BB97" s="667"/>
      <c r="BC97" s="667"/>
    </row>
    <row r="98" spans="1:55" s="674" customFormat="1">
      <c r="A98" s="674">
        <v>5</v>
      </c>
      <c r="B98" s="674" t="s">
        <v>1318</v>
      </c>
      <c r="C98" s="675" t="s">
        <v>1226</v>
      </c>
      <c r="D98" s="674" t="s">
        <v>1318</v>
      </c>
      <c r="E98" s="675" t="s">
        <v>1226</v>
      </c>
      <c r="F98" s="674" t="s">
        <v>1346</v>
      </c>
      <c r="G98" s="674" t="s">
        <v>1347</v>
      </c>
      <c r="H98" s="672">
        <v>-1323360.76</v>
      </c>
      <c r="I98" s="667"/>
      <c r="J98" s="667"/>
      <c r="K98" s="667"/>
      <c r="L98" s="667"/>
      <c r="M98" s="667">
        <f t="shared" si="20"/>
        <v>-1323360.76</v>
      </c>
      <c r="N98" s="667">
        <v>247648.93</v>
      </c>
      <c r="O98" s="667" t="s">
        <v>1228</v>
      </c>
      <c r="P98" s="667">
        <v>0</v>
      </c>
      <c r="Q98" s="667" t="s">
        <v>1321</v>
      </c>
      <c r="R98" s="667"/>
      <c r="S98" s="667"/>
      <c r="T98" s="667"/>
      <c r="U98" s="667">
        <f t="shared" si="21"/>
        <v>-1075711.83</v>
      </c>
      <c r="W98" s="676"/>
      <c r="X98" s="667"/>
      <c r="Y98" s="667"/>
      <c r="Z98" s="667">
        <f t="shared" si="16"/>
        <v>1075711.83</v>
      </c>
      <c r="AA98" s="630"/>
      <c r="AB98" s="630"/>
      <c r="AC98" s="630"/>
      <c r="AD98" s="630"/>
      <c r="AE98" s="630"/>
      <c r="AF98" s="630"/>
      <c r="AG98" s="630"/>
      <c r="AH98" s="630"/>
      <c r="AI98" s="667"/>
      <c r="AJ98" s="667"/>
      <c r="AK98" s="667"/>
      <c r="AL98" s="667"/>
      <c r="AM98" s="667"/>
      <c r="AN98" s="667"/>
      <c r="AO98" s="667"/>
      <c r="AP98" s="667"/>
      <c r="AQ98" s="667"/>
      <c r="AR98" s="667"/>
      <c r="AS98" s="667"/>
      <c r="AT98" s="667"/>
      <c r="AU98" s="667"/>
      <c r="AV98" s="667"/>
      <c r="AW98" s="667"/>
      <c r="AX98" s="667"/>
      <c r="AY98" s="667"/>
      <c r="AZ98" s="667"/>
      <c r="BA98" s="667"/>
      <c r="BB98" s="667"/>
      <c r="BC98" s="667"/>
    </row>
    <row r="99" spans="1:55" s="674" customFormat="1">
      <c r="A99" s="674">
        <v>5</v>
      </c>
      <c r="B99" s="674" t="s">
        <v>1318</v>
      </c>
      <c r="C99" s="675" t="s">
        <v>1226</v>
      </c>
      <c r="D99" s="674" t="s">
        <v>1318</v>
      </c>
      <c r="E99" s="675" t="s">
        <v>1226</v>
      </c>
      <c r="F99" s="674" t="s">
        <v>1348</v>
      </c>
      <c r="G99" s="674" t="s">
        <v>1349</v>
      </c>
      <c r="H99" s="672">
        <v>0</v>
      </c>
      <c r="I99" s="667"/>
      <c r="J99" s="667"/>
      <c r="K99" s="667"/>
      <c r="L99" s="667"/>
      <c r="M99" s="667">
        <f t="shared" si="20"/>
        <v>0</v>
      </c>
      <c r="N99" s="667">
        <v>0</v>
      </c>
      <c r="O99" s="667" t="s">
        <v>1228</v>
      </c>
      <c r="P99" s="667">
        <v>0</v>
      </c>
      <c r="Q99" s="667" t="s">
        <v>1321</v>
      </c>
      <c r="R99" s="667"/>
      <c r="S99" s="667"/>
      <c r="T99" s="667"/>
      <c r="U99" s="667">
        <f t="shared" si="21"/>
        <v>0</v>
      </c>
      <c r="W99" s="676"/>
      <c r="X99" s="667"/>
      <c r="Y99" s="667"/>
      <c r="Z99" s="667">
        <f t="shared" si="16"/>
        <v>0</v>
      </c>
      <c r="AA99" s="630"/>
      <c r="AB99" s="630"/>
      <c r="AC99" s="630"/>
      <c r="AD99" s="630"/>
      <c r="AE99" s="630"/>
      <c r="AF99" s="630"/>
      <c r="AG99" s="630"/>
      <c r="AH99" s="630"/>
      <c r="AI99" s="667"/>
      <c r="AJ99" s="667"/>
      <c r="AK99" s="667"/>
      <c r="AL99" s="667"/>
      <c r="AM99" s="667"/>
      <c r="AN99" s="667"/>
      <c r="AO99" s="667"/>
      <c r="AP99" s="667"/>
      <c r="AQ99" s="667"/>
      <c r="AR99" s="667"/>
      <c r="AS99" s="667"/>
      <c r="AT99" s="667"/>
      <c r="AU99" s="667"/>
      <c r="AV99" s="667"/>
      <c r="AW99" s="667"/>
      <c r="AX99" s="667"/>
      <c r="AY99" s="667"/>
      <c r="AZ99" s="667"/>
      <c r="BA99" s="667"/>
      <c r="BB99" s="667"/>
      <c r="BC99" s="667"/>
    </row>
    <row r="100" spans="1:55" s="674" customFormat="1">
      <c r="A100" s="674">
        <v>5</v>
      </c>
      <c r="B100" s="674" t="s">
        <v>1318</v>
      </c>
      <c r="C100" s="675" t="s">
        <v>1226</v>
      </c>
      <c r="D100" s="674" t="s">
        <v>1318</v>
      </c>
      <c r="E100" s="675" t="s">
        <v>1226</v>
      </c>
      <c r="F100" s="674" t="s">
        <v>1350</v>
      </c>
      <c r="G100" s="674" t="s">
        <v>1351</v>
      </c>
      <c r="H100" s="672">
        <v>-1580177</v>
      </c>
      <c r="I100" s="667"/>
      <c r="J100" s="667"/>
      <c r="K100" s="667"/>
      <c r="L100" s="667"/>
      <c r="M100" s="667">
        <f t="shared" si="20"/>
        <v>-1580177</v>
      </c>
      <c r="N100" s="667">
        <v>34911.440000000002</v>
      </c>
      <c r="O100" s="667" t="s">
        <v>1228</v>
      </c>
      <c r="P100" s="667">
        <v>0</v>
      </c>
      <c r="Q100" s="667" t="s">
        <v>1321</v>
      </c>
      <c r="R100" s="667"/>
      <c r="S100" s="667"/>
      <c r="T100" s="667"/>
      <c r="U100" s="667">
        <f t="shared" si="21"/>
        <v>-1545265.56</v>
      </c>
      <c r="W100" s="676"/>
      <c r="X100" s="667"/>
      <c r="Y100" s="667"/>
      <c r="Z100" s="667">
        <f t="shared" si="16"/>
        <v>1545265.56</v>
      </c>
      <c r="AA100" s="630"/>
      <c r="AB100" s="630"/>
      <c r="AC100" s="630"/>
      <c r="AD100" s="630"/>
      <c r="AE100" s="630"/>
      <c r="AF100" s="630"/>
      <c r="AG100" s="630"/>
      <c r="AH100" s="630"/>
      <c r="AI100" s="667"/>
      <c r="AJ100" s="667"/>
      <c r="AK100" s="667"/>
      <c r="AL100" s="667"/>
      <c r="AM100" s="667"/>
      <c r="AN100" s="667"/>
      <c r="AO100" s="667"/>
      <c r="AP100" s="667"/>
      <c r="AQ100" s="667"/>
      <c r="AR100" s="667"/>
      <c r="AS100" s="667"/>
      <c r="AT100" s="667"/>
      <c r="AU100" s="667"/>
      <c r="AV100" s="667"/>
      <c r="AW100" s="667"/>
      <c r="AX100" s="667"/>
      <c r="AY100" s="667"/>
      <c r="AZ100" s="667"/>
      <c r="BA100" s="667"/>
      <c r="BB100" s="667"/>
      <c r="BC100" s="667"/>
    </row>
    <row r="101" spans="1:55" s="674" customFormat="1">
      <c r="B101" s="674">
        <v>600</v>
      </c>
      <c r="C101" s="675"/>
      <c r="D101" s="674">
        <v>600</v>
      </c>
      <c r="E101" s="675"/>
      <c r="F101" s="674">
        <v>6042</v>
      </c>
      <c r="G101" s="674" t="s">
        <v>901</v>
      </c>
      <c r="H101" s="667">
        <v>-1016202.54</v>
      </c>
      <c r="I101" s="667"/>
      <c r="J101" s="667"/>
      <c r="K101" s="667"/>
      <c r="L101" s="667"/>
      <c r="M101" s="667">
        <f t="shared" si="20"/>
        <v>-1016202.54</v>
      </c>
      <c r="N101" s="667">
        <v>249448.94</v>
      </c>
      <c r="O101" s="667"/>
      <c r="P101" s="667"/>
      <c r="Q101" s="667"/>
      <c r="R101" s="667"/>
      <c r="S101" s="667"/>
      <c r="T101" s="667"/>
      <c r="U101" s="667">
        <f t="shared" si="21"/>
        <v>-766753.60000000009</v>
      </c>
      <c r="W101" s="676"/>
      <c r="X101" s="667"/>
      <c r="Y101" s="667"/>
      <c r="Z101" s="667">
        <f t="shared" si="16"/>
        <v>766753.60000000009</v>
      </c>
      <c r="AA101" s="630"/>
      <c r="AB101" s="630"/>
      <c r="AC101" s="630"/>
      <c r="AD101" s="630"/>
      <c r="AE101" s="630"/>
      <c r="AF101" s="630"/>
      <c r="AG101" s="630"/>
      <c r="AH101" s="630"/>
      <c r="AI101" s="667"/>
      <c r="AJ101" s="667"/>
      <c r="AK101" s="667"/>
      <c r="AL101" s="667"/>
      <c r="AM101" s="667"/>
      <c r="AN101" s="667"/>
      <c r="AO101" s="667"/>
      <c r="AP101" s="667"/>
      <c r="AQ101" s="667"/>
      <c r="AR101" s="667"/>
      <c r="AS101" s="667"/>
      <c r="AT101" s="667"/>
      <c r="AU101" s="667"/>
      <c r="AV101" s="667"/>
      <c r="AW101" s="667"/>
      <c r="AX101" s="667"/>
      <c r="AY101" s="667"/>
      <c r="AZ101" s="667"/>
      <c r="BA101" s="667"/>
      <c r="BB101" s="667"/>
      <c r="BC101" s="667"/>
    </row>
    <row r="102" spans="1:55" s="674" customFormat="1">
      <c r="B102" s="674">
        <v>600</v>
      </c>
      <c r="C102" s="675"/>
      <c r="D102" s="674">
        <v>600</v>
      </c>
      <c r="E102" s="675"/>
      <c r="F102" s="674">
        <v>6043</v>
      </c>
      <c r="G102" s="674" t="s">
        <v>902</v>
      </c>
      <c r="H102" s="667">
        <v>0</v>
      </c>
      <c r="I102" s="667"/>
      <c r="J102" s="667"/>
      <c r="K102" s="667"/>
      <c r="L102" s="667"/>
      <c r="M102" s="667">
        <f t="shared" si="20"/>
        <v>0</v>
      </c>
      <c r="N102" s="667">
        <v>8849.16</v>
      </c>
      <c r="O102" s="667"/>
      <c r="P102" s="667"/>
      <c r="Q102" s="667"/>
      <c r="R102" s="667"/>
      <c r="S102" s="667"/>
      <c r="T102" s="667">
        <v>-1702295.01</v>
      </c>
      <c r="U102" s="667">
        <f t="shared" si="21"/>
        <v>-1693445.85</v>
      </c>
      <c r="W102" s="676"/>
      <c r="X102" s="667"/>
      <c r="Y102" s="667"/>
      <c r="Z102" s="667">
        <f t="shared" si="16"/>
        <v>1693445.85</v>
      </c>
      <c r="AA102" s="630"/>
      <c r="AB102" s="630"/>
      <c r="AC102" s="630"/>
      <c r="AD102" s="630"/>
      <c r="AE102" s="630"/>
      <c r="AF102" s="630"/>
      <c r="AG102" s="630"/>
      <c r="AH102" s="630"/>
      <c r="AI102" s="667"/>
      <c r="AJ102" s="667"/>
      <c r="AK102" s="667"/>
      <c r="AL102" s="667"/>
      <c r="AM102" s="667"/>
      <c r="AN102" s="667"/>
      <c r="AO102" s="667"/>
      <c r="AP102" s="667"/>
      <c r="AQ102" s="667"/>
      <c r="AR102" s="667"/>
      <c r="AS102" s="667"/>
      <c r="AT102" s="667"/>
      <c r="AU102" s="667"/>
      <c r="AV102" s="667"/>
      <c r="AW102" s="667"/>
      <c r="AX102" s="667"/>
      <c r="AY102" s="667"/>
      <c r="AZ102" s="667"/>
      <c r="BA102" s="667"/>
      <c r="BB102" s="667"/>
      <c r="BC102" s="667"/>
    </row>
    <row r="103" spans="1:55" s="674" customFormat="1" ht="13.5" customHeight="1">
      <c r="C103" s="675"/>
      <c r="D103" s="674">
        <v>600</v>
      </c>
      <c r="E103" s="675"/>
      <c r="F103" s="674">
        <v>6044</v>
      </c>
      <c r="G103" s="674" t="s">
        <v>2806</v>
      </c>
      <c r="H103" s="667"/>
      <c r="I103" s="667"/>
      <c r="J103" s="667"/>
      <c r="K103" s="667"/>
      <c r="L103" s="667"/>
      <c r="M103" s="667">
        <f t="shared" si="20"/>
        <v>0</v>
      </c>
      <c r="N103" s="667">
        <v>134125.6</v>
      </c>
      <c r="O103" s="667"/>
      <c r="P103" s="667"/>
      <c r="Q103" s="667"/>
      <c r="R103" s="667"/>
      <c r="S103" s="667"/>
      <c r="T103" s="667">
        <v>-2262640.62</v>
      </c>
      <c r="U103" s="667">
        <f t="shared" si="21"/>
        <v>-2128515.02</v>
      </c>
      <c r="V103" s="677">
        <f>U104+U103</f>
        <v>-2236682.41</v>
      </c>
      <c r="W103" s="676"/>
      <c r="X103" s="667"/>
      <c r="Y103" s="667"/>
      <c r="Z103" s="667">
        <f t="shared" si="16"/>
        <v>2128515.02</v>
      </c>
      <c r="AA103" s="630"/>
      <c r="AB103" s="630"/>
      <c r="AC103" s="630"/>
      <c r="AD103" s="630"/>
      <c r="AE103" s="630"/>
      <c r="AF103" s="630"/>
      <c r="AG103" s="630"/>
      <c r="AH103" s="630"/>
      <c r="AI103" s="667"/>
      <c r="AJ103" s="667"/>
      <c r="AK103" s="667"/>
      <c r="AL103" s="667"/>
      <c r="AM103" s="667"/>
      <c r="AN103" s="667"/>
      <c r="AO103" s="667"/>
      <c r="AP103" s="667"/>
      <c r="AQ103" s="667"/>
      <c r="AR103" s="667"/>
      <c r="AS103" s="667"/>
      <c r="AT103" s="667"/>
      <c r="AU103" s="667"/>
      <c r="AV103" s="667"/>
      <c r="AW103" s="667"/>
      <c r="AX103" s="667"/>
      <c r="AY103" s="667"/>
      <c r="AZ103" s="667"/>
      <c r="BA103" s="667"/>
      <c r="BB103" s="667"/>
      <c r="BC103" s="667"/>
    </row>
    <row r="104" spans="1:55" s="674" customFormat="1">
      <c r="D104" s="674">
        <v>600</v>
      </c>
      <c r="F104" s="674">
        <v>6045</v>
      </c>
      <c r="G104" s="674" t="s">
        <v>2811</v>
      </c>
      <c r="H104" s="667">
        <v>0</v>
      </c>
      <c r="I104" s="667"/>
      <c r="J104" s="667"/>
      <c r="K104" s="667"/>
      <c r="L104" s="667"/>
      <c r="M104" s="667">
        <f t="shared" si="20"/>
        <v>0</v>
      </c>
      <c r="N104" s="667">
        <v>1798.12</v>
      </c>
      <c r="O104" s="667"/>
      <c r="P104" s="667"/>
      <c r="Q104" s="667"/>
      <c r="R104" s="667"/>
      <c r="S104" s="667"/>
      <c r="T104" s="667">
        <v>-109965.51</v>
      </c>
      <c r="U104" s="667">
        <f t="shared" si="21"/>
        <v>-108167.39</v>
      </c>
      <c r="W104" s="676"/>
      <c r="X104" s="667"/>
      <c r="Y104" s="667"/>
      <c r="Z104" s="667">
        <f t="shared" si="16"/>
        <v>108167.39</v>
      </c>
      <c r="AA104" s="630"/>
      <c r="AB104" s="630"/>
      <c r="AC104" s="630"/>
      <c r="AD104" s="630"/>
      <c r="AE104" s="630"/>
      <c r="AF104" s="630"/>
      <c r="AG104" s="630"/>
      <c r="AH104" s="630"/>
      <c r="AI104" s="667"/>
      <c r="AJ104" s="667"/>
      <c r="AK104" s="667"/>
      <c r="AL104" s="667"/>
      <c r="AM104" s="667"/>
      <c r="AN104" s="667"/>
      <c r="AO104" s="667"/>
      <c r="AP104" s="667"/>
      <c r="AQ104" s="667"/>
      <c r="AR104" s="667"/>
      <c r="AS104" s="667"/>
      <c r="AT104" s="667"/>
      <c r="AU104" s="667"/>
      <c r="AV104" s="667"/>
      <c r="AW104" s="667"/>
      <c r="AX104" s="667"/>
      <c r="AY104" s="667"/>
      <c r="AZ104" s="667"/>
      <c r="BA104" s="667"/>
      <c r="BB104" s="667"/>
      <c r="BC104" s="667"/>
    </row>
    <row r="105" spans="1:55" s="674" customFormat="1">
      <c r="B105" s="674" t="s">
        <v>1231</v>
      </c>
      <c r="C105" s="675"/>
      <c r="E105" s="675"/>
      <c r="G105" s="674" t="s">
        <v>1352</v>
      </c>
      <c r="H105" s="668">
        <f>SUM(H85:H104)</f>
        <v>-9185394.6799999997</v>
      </c>
      <c r="I105" s="668">
        <f t="shared" ref="I105:T105" si="22">SUM(I85:I104)</f>
        <v>0</v>
      </c>
      <c r="J105" s="668"/>
      <c r="K105" s="668"/>
      <c r="L105" s="668">
        <f t="shared" si="22"/>
        <v>0</v>
      </c>
      <c r="M105" s="668">
        <f t="shared" si="22"/>
        <v>-9185394.6799999997</v>
      </c>
      <c r="N105" s="668">
        <f t="shared" si="22"/>
        <v>2728149.4000000004</v>
      </c>
      <c r="O105" s="668">
        <f t="shared" si="22"/>
        <v>0</v>
      </c>
      <c r="P105" s="668">
        <f t="shared" si="22"/>
        <v>44</v>
      </c>
      <c r="Q105" s="668">
        <f t="shared" si="22"/>
        <v>0</v>
      </c>
      <c r="R105" s="668">
        <f t="shared" si="22"/>
        <v>0</v>
      </c>
      <c r="S105" s="668">
        <f t="shared" si="22"/>
        <v>0</v>
      </c>
      <c r="T105" s="668">
        <f t="shared" si="22"/>
        <v>-4778082.49</v>
      </c>
      <c r="U105" s="668">
        <f>SUM(U85:U104)</f>
        <v>-11235327.77</v>
      </c>
      <c r="W105" s="676"/>
      <c r="X105" s="667"/>
      <c r="Y105" s="667"/>
      <c r="Z105" s="667">
        <f t="shared" si="16"/>
        <v>11235327.77</v>
      </c>
      <c r="AA105" s="630"/>
      <c r="AB105" s="630"/>
      <c r="AC105" s="630"/>
      <c r="AD105" s="630"/>
      <c r="AE105" s="630"/>
      <c r="AF105" s="630"/>
      <c r="AG105" s="630"/>
      <c r="AH105" s="630"/>
      <c r="AI105" s="667"/>
      <c r="AJ105" s="667"/>
      <c r="AK105" s="667"/>
      <c r="AL105" s="667"/>
      <c r="AM105" s="667"/>
      <c r="AN105" s="667"/>
      <c r="AO105" s="667"/>
      <c r="AP105" s="667"/>
      <c r="AQ105" s="667"/>
      <c r="AR105" s="667"/>
      <c r="AS105" s="667"/>
      <c r="AT105" s="667"/>
      <c r="AU105" s="667"/>
      <c r="AV105" s="667"/>
      <c r="AW105" s="667"/>
      <c r="AX105" s="667"/>
      <c r="AY105" s="667"/>
      <c r="AZ105" s="667"/>
      <c r="BA105" s="667"/>
      <c r="BB105" s="667"/>
      <c r="BC105" s="667"/>
    </row>
    <row r="106" spans="1:55" s="674" customFormat="1" ht="6" customHeight="1">
      <c r="C106" s="675"/>
      <c r="E106" s="675"/>
      <c r="H106" s="669"/>
      <c r="I106" s="669"/>
      <c r="J106" s="669"/>
      <c r="K106" s="669"/>
      <c r="L106" s="669"/>
      <c r="M106" s="669"/>
      <c r="N106" s="669"/>
      <c r="O106" s="669"/>
      <c r="P106" s="669"/>
      <c r="Q106" s="669"/>
      <c r="R106" s="669"/>
      <c r="S106" s="669"/>
      <c r="T106" s="669"/>
      <c r="U106" s="667"/>
      <c r="W106" s="676"/>
      <c r="X106" s="667"/>
      <c r="Y106" s="667"/>
      <c r="Z106" s="667">
        <f t="shared" si="16"/>
        <v>0</v>
      </c>
      <c r="AA106" s="630"/>
      <c r="AB106" s="630"/>
      <c r="AC106" s="630"/>
      <c r="AD106" s="630"/>
      <c r="AE106" s="630"/>
      <c r="AF106" s="630"/>
      <c r="AG106" s="630"/>
      <c r="AH106" s="630"/>
      <c r="AI106" s="667"/>
      <c r="AJ106" s="667"/>
      <c r="AK106" s="667"/>
      <c r="AL106" s="667"/>
      <c r="AM106" s="667"/>
      <c r="AN106" s="667"/>
      <c r="AO106" s="667"/>
      <c r="AP106" s="667"/>
      <c r="AQ106" s="667"/>
      <c r="AR106" s="667"/>
      <c r="AS106" s="667"/>
      <c r="AT106" s="667"/>
      <c r="AU106" s="667"/>
      <c r="AV106" s="667"/>
      <c r="AW106" s="667"/>
      <c r="AX106" s="667"/>
      <c r="AY106" s="667"/>
      <c r="AZ106" s="667"/>
      <c r="BA106" s="667"/>
      <c r="BB106" s="667"/>
      <c r="BC106" s="667"/>
    </row>
    <row r="107" spans="1:55" s="674" customFormat="1">
      <c r="B107" s="674" t="s">
        <v>1237</v>
      </c>
      <c r="C107" s="675"/>
      <c r="E107" s="675"/>
      <c r="G107" s="674" t="s">
        <v>1353</v>
      </c>
      <c r="H107" s="673">
        <f>H105</f>
        <v>-9185394.6799999997</v>
      </c>
      <c r="I107" s="668">
        <f t="shared" ref="I107:T107" si="23">I105</f>
        <v>0</v>
      </c>
      <c r="J107" s="668"/>
      <c r="K107" s="668"/>
      <c r="L107" s="668">
        <f t="shared" si="23"/>
        <v>0</v>
      </c>
      <c r="M107" s="668">
        <f t="shared" si="23"/>
        <v>-9185394.6799999997</v>
      </c>
      <c r="N107" s="668">
        <f t="shared" si="23"/>
        <v>2728149.4000000004</v>
      </c>
      <c r="O107" s="668">
        <f t="shared" si="23"/>
        <v>0</v>
      </c>
      <c r="P107" s="668">
        <f t="shared" si="23"/>
        <v>44</v>
      </c>
      <c r="Q107" s="668">
        <f t="shared" si="23"/>
        <v>0</v>
      </c>
      <c r="R107" s="668">
        <f t="shared" si="23"/>
        <v>0</v>
      </c>
      <c r="S107" s="668">
        <f t="shared" si="23"/>
        <v>0</v>
      </c>
      <c r="T107" s="668">
        <f t="shared" si="23"/>
        <v>-4778082.49</v>
      </c>
      <c r="U107" s="668">
        <f>U105</f>
        <v>-11235327.77</v>
      </c>
      <c r="W107" s="676"/>
      <c r="X107" s="667"/>
      <c r="Y107" s="667"/>
      <c r="Z107" s="667">
        <f t="shared" si="16"/>
        <v>11235327.77</v>
      </c>
      <c r="AA107" s="630"/>
      <c r="AB107" s="630"/>
      <c r="AC107" s="630"/>
      <c r="AD107" s="630"/>
      <c r="AE107" s="630"/>
      <c r="AF107" s="630"/>
      <c r="AG107" s="630"/>
      <c r="AH107" s="630"/>
      <c r="AI107" s="667"/>
      <c r="AJ107" s="667"/>
      <c r="AK107" s="667"/>
      <c r="AL107" s="667"/>
      <c r="AM107" s="667"/>
      <c r="AN107" s="667"/>
      <c r="AO107" s="667"/>
      <c r="AP107" s="667"/>
      <c r="AQ107" s="667"/>
      <c r="AR107" s="667"/>
      <c r="AS107" s="667"/>
      <c r="AT107" s="667"/>
      <c r="AU107" s="667"/>
      <c r="AV107" s="667"/>
      <c r="AW107" s="667"/>
      <c r="AX107" s="667"/>
      <c r="AY107" s="667"/>
      <c r="AZ107" s="667"/>
      <c r="BA107" s="667"/>
      <c r="BB107" s="667"/>
      <c r="BC107" s="667"/>
    </row>
    <row r="108" spans="1:55">
      <c r="C108" s="637"/>
      <c r="E108" s="637"/>
      <c r="H108" s="638"/>
      <c r="I108" s="669"/>
      <c r="J108" s="669"/>
      <c r="K108" s="669"/>
      <c r="L108" s="669"/>
      <c r="M108" s="638"/>
      <c r="N108" s="638"/>
      <c r="W108" s="639"/>
      <c r="Z108" s="630">
        <f t="shared" si="16"/>
        <v>0</v>
      </c>
    </row>
    <row r="109" spans="1:55">
      <c r="A109" s="629">
        <v>5</v>
      </c>
      <c r="B109" s="629" t="s">
        <v>1354</v>
      </c>
      <c r="C109" s="637" t="s">
        <v>1226</v>
      </c>
      <c r="D109" s="629" t="s">
        <v>1354</v>
      </c>
      <c r="E109" s="637" t="s">
        <v>1226</v>
      </c>
      <c r="F109" s="629" t="s">
        <v>1355</v>
      </c>
      <c r="G109" s="629" t="s">
        <v>1356</v>
      </c>
      <c r="H109" s="630">
        <v>-1327936.83</v>
      </c>
      <c r="M109" s="630">
        <f>H109+I109+L109</f>
        <v>-1327936.83</v>
      </c>
      <c r="N109" s="630">
        <v>295039.03000000003</v>
      </c>
      <c r="O109" s="630" t="s">
        <v>1228</v>
      </c>
      <c r="P109" s="630">
        <v>5</v>
      </c>
      <c r="Q109" s="630" t="s">
        <v>1357</v>
      </c>
      <c r="T109" s="630">
        <v>-528649.6</v>
      </c>
      <c r="U109" s="630">
        <f>+M109+N109+T109</f>
        <v>-1561547.4</v>
      </c>
      <c r="W109" s="639"/>
      <c r="Z109" s="630">
        <f t="shared" si="16"/>
        <v>1561547.4</v>
      </c>
    </row>
    <row r="110" spans="1:55" ht="6" customHeight="1">
      <c r="C110" s="637"/>
      <c r="E110" s="637"/>
      <c r="W110" s="639"/>
      <c r="Z110" s="630">
        <f t="shared" si="16"/>
        <v>0</v>
      </c>
    </row>
    <row r="111" spans="1:55">
      <c r="B111" s="629" t="s">
        <v>1231</v>
      </c>
      <c r="C111" s="637"/>
      <c r="E111" s="637"/>
      <c r="G111" s="629" t="s">
        <v>1358</v>
      </c>
      <c r="H111" s="642">
        <f>H109</f>
        <v>-1327936.83</v>
      </c>
      <c r="I111" s="668">
        <f t="shared" ref="I111:T111" si="24">I109</f>
        <v>0</v>
      </c>
      <c r="J111" s="668"/>
      <c r="K111" s="668"/>
      <c r="L111" s="668">
        <f t="shared" si="24"/>
        <v>0</v>
      </c>
      <c r="M111" s="642">
        <f t="shared" si="24"/>
        <v>-1327936.83</v>
      </c>
      <c r="N111" s="642">
        <f t="shared" si="24"/>
        <v>295039.03000000003</v>
      </c>
      <c r="O111" s="642" t="str">
        <f t="shared" si="24"/>
        <v>D</v>
      </c>
      <c r="P111" s="642">
        <f t="shared" si="24"/>
        <v>5</v>
      </c>
      <c r="Q111" s="642" t="str">
        <f t="shared" si="24"/>
        <v>consumer dep</v>
      </c>
      <c r="R111" s="642">
        <f t="shared" si="24"/>
        <v>0</v>
      </c>
      <c r="S111" s="642">
        <f t="shared" si="24"/>
        <v>0</v>
      </c>
      <c r="T111" s="642">
        <f t="shared" si="24"/>
        <v>-528649.6</v>
      </c>
      <c r="U111" s="642">
        <f>U109</f>
        <v>-1561547.4</v>
      </c>
      <c r="W111" s="639"/>
      <c r="Z111" s="630">
        <f t="shared" si="16"/>
        <v>1561547.4</v>
      </c>
    </row>
    <row r="112" spans="1:55">
      <c r="C112" s="637"/>
      <c r="E112" s="637"/>
      <c r="H112" s="638"/>
      <c r="I112" s="669"/>
      <c r="J112" s="669"/>
      <c r="K112" s="669"/>
      <c r="L112" s="669"/>
      <c r="M112" s="638"/>
      <c r="N112" s="638"/>
      <c r="W112" s="639"/>
      <c r="Z112" s="630">
        <f t="shared" si="16"/>
        <v>0</v>
      </c>
    </row>
    <row r="113" spans="1:26">
      <c r="C113" s="637"/>
      <c r="E113" s="637"/>
      <c r="H113" s="638"/>
      <c r="I113" s="669"/>
      <c r="J113" s="669"/>
      <c r="K113" s="669"/>
      <c r="L113" s="669"/>
      <c r="M113" s="638"/>
      <c r="N113" s="638"/>
      <c r="U113" s="630">
        <f>+M113+N113+T113</f>
        <v>0</v>
      </c>
      <c r="W113" s="639"/>
      <c r="Z113" s="630">
        <f t="shared" si="16"/>
        <v>0</v>
      </c>
    </row>
    <row r="114" spans="1:26">
      <c r="A114" s="629">
        <v>5</v>
      </c>
      <c r="B114" s="629" t="s">
        <v>1354</v>
      </c>
      <c r="C114" s="637" t="s">
        <v>1226</v>
      </c>
      <c r="D114" s="629" t="s">
        <v>1359</v>
      </c>
      <c r="E114" s="637" t="s">
        <v>1226</v>
      </c>
      <c r="F114" s="629" t="s">
        <v>1360</v>
      </c>
      <c r="G114" s="629" t="s">
        <v>1361</v>
      </c>
      <c r="H114" s="630">
        <v>0</v>
      </c>
      <c r="M114" s="630">
        <f>H114+I114+L114</f>
        <v>0</v>
      </c>
      <c r="N114" s="630">
        <v>0</v>
      </c>
      <c r="O114" s="630" t="s">
        <v>1228</v>
      </c>
      <c r="P114" s="630">
        <v>10</v>
      </c>
      <c r="Q114" s="630" t="s">
        <v>1362</v>
      </c>
      <c r="U114" s="630">
        <f>+M114+N114+T114</f>
        <v>0</v>
      </c>
      <c r="W114" s="639"/>
      <c r="Z114" s="630">
        <f t="shared" si="16"/>
        <v>0</v>
      </c>
    </row>
    <row r="115" spans="1:26" ht="6" customHeight="1">
      <c r="C115" s="637"/>
      <c r="E115" s="637"/>
      <c r="W115" s="639"/>
      <c r="Z115" s="630">
        <f t="shared" si="16"/>
        <v>0</v>
      </c>
    </row>
    <row r="116" spans="1:26">
      <c r="B116" s="629" t="s">
        <v>1231</v>
      </c>
      <c r="C116" s="637"/>
      <c r="E116" s="637"/>
      <c r="G116" s="629" t="s">
        <v>1363</v>
      </c>
      <c r="H116" s="642">
        <f>H114</f>
        <v>0</v>
      </c>
      <c r="I116" s="668">
        <f t="shared" ref="I116:T116" si="25">I114</f>
        <v>0</v>
      </c>
      <c r="J116" s="668"/>
      <c r="K116" s="668"/>
      <c r="L116" s="668">
        <f t="shared" si="25"/>
        <v>0</v>
      </c>
      <c r="M116" s="642">
        <f t="shared" si="25"/>
        <v>0</v>
      </c>
      <c r="N116" s="642">
        <f t="shared" si="25"/>
        <v>0</v>
      </c>
      <c r="O116" s="642" t="str">
        <f t="shared" si="25"/>
        <v>D</v>
      </c>
      <c r="P116" s="642">
        <f t="shared" si="25"/>
        <v>10</v>
      </c>
      <c r="Q116" s="642" t="str">
        <f t="shared" si="25"/>
        <v>creditors</v>
      </c>
      <c r="R116" s="642">
        <f t="shared" si="25"/>
        <v>0</v>
      </c>
      <c r="S116" s="642">
        <f t="shared" si="25"/>
        <v>0</v>
      </c>
      <c r="T116" s="642">
        <f t="shared" si="25"/>
        <v>0</v>
      </c>
      <c r="U116" s="642">
        <f>U114</f>
        <v>0</v>
      </c>
      <c r="W116" s="639"/>
      <c r="Z116" s="630">
        <f t="shared" si="16"/>
        <v>0</v>
      </c>
    </row>
    <row r="117" spans="1:26" ht="6" customHeight="1">
      <c r="C117" s="637"/>
      <c r="E117" s="637"/>
      <c r="W117" s="639"/>
      <c r="Z117" s="630">
        <f t="shared" si="16"/>
        <v>0</v>
      </c>
    </row>
    <row r="118" spans="1:26" ht="12.95" customHeight="1">
      <c r="B118" s="629" t="s">
        <v>1237</v>
      </c>
      <c r="C118" s="637"/>
      <c r="E118" s="637"/>
      <c r="G118" s="629" t="s">
        <v>1364</v>
      </c>
      <c r="H118" s="642">
        <f>H116+H111</f>
        <v>-1327936.83</v>
      </c>
      <c r="I118" s="668">
        <f t="shared" ref="I118:T118" si="26">I116+I111</f>
        <v>0</v>
      </c>
      <c r="J118" s="668"/>
      <c r="K118" s="668"/>
      <c r="L118" s="668">
        <f t="shared" si="26"/>
        <v>0</v>
      </c>
      <c r="M118" s="642">
        <f t="shared" si="26"/>
        <v>-1327936.83</v>
      </c>
      <c r="N118" s="642">
        <f t="shared" si="26"/>
        <v>295039.03000000003</v>
      </c>
      <c r="O118" s="642" t="e">
        <f t="shared" si="26"/>
        <v>#VALUE!</v>
      </c>
      <c r="P118" s="642">
        <f t="shared" si="26"/>
        <v>15</v>
      </c>
      <c r="Q118" s="642" t="e">
        <f t="shared" si="26"/>
        <v>#VALUE!</v>
      </c>
      <c r="R118" s="642">
        <f t="shared" si="26"/>
        <v>0</v>
      </c>
      <c r="S118" s="642">
        <f t="shared" si="26"/>
        <v>0</v>
      </c>
      <c r="T118" s="642">
        <f t="shared" si="26"/>
        <v>-528649.6</v>
      </c>
      <c r="U118" s="642">
        <f>U116+U111</f>
        <v>-1561547.4</v>
      </c>
      <c r="W118" s="639"/>
      <c r="Z118" s="630">
        <f t="shared" si="16"/>
        <v>1561547.4</v>
      </c>
    </row>
    <row r="119" spans="1:26" ht="12.95" customHeight="1">
      <c r="C119" s="637"/>
      <c r="E119" s="637"/>
      <c r="W119" s="639"/>
      <c r="Z119" s="630">
        <f t="shared" si="16"/>
        <v>0</v>
      </c>
    </row>
    <row r="120" spans="1:26">
      <c r="A120" s="629">
        <v>5</v>
      </c>
      <c r="B120" s="629" t="s">
        <v>1365</v>
      </c>
      <c r="C120" s="637" t="s">
        <v>1226</v>
      </c>
      <c r="D120" s="629" t="s">
        <v>1365</v>
      </c>
      <c r="E120" s="637" t="s">
        <v>1226</v>
      </c>
      <c r="F120" s="629" t="s">
        <v>1366</v>
      </c>
      <c r="G120" s="629" t="s">
        <v>1367</v>
      </c>
      <c r="H120" s="663">
        <v>-149710.31</v>
      </c>
      <c r="M120" s="630">
        <f>H120+I120+L120</f>
        <v>-149710.31</v>
      </c>
      <c r="N120" s="630">
        <v>1398322.83</v>
      </c>
      <c r="O120" s="630" t="s">
        <v>1228</v>
      </c>
      <c r="P120" s="630">
        <v>10</v>
      </c>
      <c r="Q120" s="630" t="s">
        <v>1362</v>
      </c>
      <c r="R120" s="630" t="s">
        <v>1368</v>
      </c>
      <c r="T120" s="630">
        <v>-1407881.33</v>
      </c>
      <c r="U120" s="630">
        <f>+M120+N120+T120</f>
        <v>-159268.81000000006</v>
      </c>
      <c r="W120" s="639"/>
      <c r="Z120" s="630">
        <f t="shared" si="16"/>
        <v>159268.81000000006</v>
      </c>
    </row>
    <row r="121" spans="1:26">
      <c r="A121" s="629">
        <v>5</v>
      </c>
      <c r="B121" s="629" t="s">
        <v>1365</v>
      </c>
      <c r="C121" s="637" t="s">
        <v>1226</v>
      </c>
      <c r="D121" s="629" t="s">
        <v>1365</v>
      </c>
      <c r="E121" s="637" t="s">
        <v>1226</v>
      </c>
      <c r="F121" s="629" t="s">
        <v>1369</v>
      </c>
      <c r="G121" s="629" t="s">
        <v>1370</v>
      </c>
      <c r="H121" s="663">
        <v>-4447424.0199999996</v>
      </c>
      <c r="M121" s="630">
        <f>H121+I121+L121</f>
        <v>-4447424.0199999996</v>
      </c>
      <c r="N121" s="630">
        <v>4194441.47</v>
      </c>
      <c r="O121" s="630" t="s">
        <v>1228</v>
      </c>
      <c r="P121" s="630">
        <v>10</v>
      </c>
      <c r="Q121" s="630" t="s">
        <v>1362</v>
      </c>
      <c r="R121" s="630" t="s">
        <v>1368</v>
      </c>
      <c r="T121" s="630">
        <v>-3076100.77</v>
      </c>
      <c r="U121" s="630">
        <f>+M121+N121+T121</f>
        <v>-3329083.32</v>
      </c>
      <c r="W121" s="639"/>
      <c r="Z121" s="630">
        <f t="shared" si="16"/>
        <v>3329083.32</v>
      </c>
    </row>
    <row r="122" spans="1:26">
      <c r="A122" s="629">
        <v>5</v>
      </c>
      <c r="B122" s="629" t="s">
        <v>1365</v>
      </c>
      <c r="C122" s="637" t="s">
        <v>1226</v>
      </c>
      <c r="D122" s="629" t="s">
        <v>1365</v>
      </c>
      <c r="E122" s="637" t="s">
        <v>1226</v>
      </c>
      <c r="F122" s="629" t="s">
        <v>1371</v>
      </c>
      <c r="G122" s="629" t="s">
        <v>1467</v>
      </c>
      <c r="H122" s="663">
        <v>-906500.46</v>
      </c>
      <c r="M122" s="630">
        <f>H122+I122+L122</f>
        <v>-906500.46</v>
      </c>
      <c r="N122" s="630">
        <v>906500.46</v>
      </c>
      <c r="O122" s="630" t="s">
        <v>1228</v>
      </c>
      <c r="P122" s="630">
        <v>10</v>
      </c>
      <c r="Q122" s="630" t="s">
        <v>1362</v>
      </c>
      <c r="R122" s="630" t="s">
        <v>1368</v>
      </c>
      <c r="T122" s="630">
        <v>-1234470.78</v>
      </c>
      <c r="U122" s="630">
        <f>+M122+N122+T122</f>
        <v>-1234470.78</v>
      </c>
      <c r="W122" s="639"/>
      <c r="Z122" s="630">
        <f t="shared" si="16"/>
        <v>1234470.78</v>
      </c>
    </row>
    <row r="123" spans="1:26">
      <c r="A123" s="629">
        <v>5</v>
      </c>
      <c r="B123" s="629" t="s">
        <v>1365</v>
      </c>
      <c r="C123" s="637" t="s">
        <v>1226</v>
      </c>
      <c r="D123" s="629" t="s">
        <v>1365</v>
      </c>
      <c r="E123" s="637" t="s">
        <v>1226</v>
      </c>
      <c r="F123" s="629" t="s">
        <v>1372</v>
      </c>
      <c r="G123" s="629" t="s">
        <v>1373</v>
      </c>
      <c r="H123" s="663">
        <v>-1410492.72</v>
      </c>
      <c r="M123" s="630">
        <f>H123+I123+L123</f>
        <v>-1410492.72</v>
      </c>
      <c r="N123" s="630">
        <f>8682720.32+240901.11</f>
        <v>8923621.4299999997</v>
      </c>
      <c r="O123" s="630" t="s">
        <v>1228</v>
      </c>
      <c r="P123" s="630">
        <v>9</v>
      </c>
      <c r="Q123" s="630" t="s">
        <v>1374</v>
      </c>
      <c r="R123" s="630" t="s">
        <v>1375</v>
      </c>
      <c r="T123" s="630">
        <v>-8923621.4299999997</v>
      </c>
      <c r="U123" s="630">
        <f>+M123+N123+T123</f>
        <v>-1410492.7199999997</v>
      </c>
      <c r="W123" s="639"/>
      <c r="Z123" s="630">
        <f t="shared" si="16"/>
        <v>1410492.7199999997</v>
      </c>
    </row>
    <row r="124" spans="1:26" ht="6" customHeight="1">
      <c r="C124" s="637"/>
      <c r="E124" s="637"/>
      <c r="W124" s="639"/>
      <c r="Z124" s="630">
        <f t="shared" si="16"/>
        <v>0</v>
      </c>
    </row>
    <row r="125" spans="1:26">
      <c r="B125" s="629" t="s">
        <v>1231</v>
      </c>
      <c r="C125" s="637"/>
      <c r="E125" s="637"/>
      <c r="G125" s="629" t="s">
        <v>1376</v>
      </c>
      <c r="H125" s="642">
        <f>SUM(H120:H124)</f>
        <v>-6914127.5099999988</v>
      </c>
      <c r="I125" s="668">
        <f t="shared" ref="I125:T125" si="27">SUM(I120:I124)</f>
        <v>0</v>
      </c>
      <c r="J125" s="668"/>
      <c r="K125" s="668"/>
      <c r="L125" s="668">
        <f t="shared" si="27"/>
        <v>0</v>
      </c>
      <c r="M125" s="642">
        <f>SUM(M120:M124)</f>
        <v>-6914127.5099999988</v>
      </c>
      <c r="N125" s="642">
        <f t="shared" si="27"/>
        <v>15422886.189999999</v>
      </c>
      <c r="O125" s="642">
        <f t="shared" si="27"/>
        <v>0</v>
      </c>
      <c r="P125" s="642">
        <f t="shared" si="27"/>
        <v>39</v>
      </c>
      <c r="Q125" s="642">
        <f t="shared" si="27"/>
        <v>0</v>
      </c>
      <c r="R125" s="642">
        <f t="shared" si="27"/>
        <v>0</v>
      </c>
      <c r="S125" s="642">
        <f t="shared" si="27"/>
        <v>0</v>
      </c>
      <c r="T125" s="642">
        <f t="shared" si="27"/>
        <v>-14642074.309999999</v>
      </c>
      <c r="U125" s="642">
        <f>SUM(U120:U124)</f>
        <v>-6133315.6299999999</v>
      </c>
      <c r="W125" s="639"/>
      <c r="Z125" s="630">
        <f t="shared" si="16"/>
        <v>6133315.6299999999</v>
      </c>
    </row>
    <row r="126" spans="1:26">
      <c r="C126" s="637"/>
      <c r="E126" s="637"/>
      <c r="W126" s="639"/>
      <c r="Z126" s="630">
        <f t="shared" si="16"/>
        <v>0</v>
      </c>
    </row>
    <row r="127" spans="1:26">
      <c r="A127" s="629">
        <v>5</v>
      </c>
      <c r="B127" s="629" t="s">
        <v>1365</v>
      </c>
      <c r="C127" s="637" t="s">
        <v>1226</v>
      </c>
      <c r="D127" s="629" t="s">
        <v>1377</v>
      </c>
      <c r="E127" s="637" t="s">
        <v>1226</v>
      </c>
      <c r="F127" s="629" t="s">
        <v>1378</v>
      </c>
      <c r="G127" s="629" t="s">
        <v>3411</v>
      </c>
      <c r="H127" s="663">
        <v>-1610.62</v>
      </c>
      <c r="M127" s="679">
        <f t="shared" ref="M127:M163" si="28">H127+I127+L127</f>
        <v>-1610.62</v>
      </c>
      <c r="N127" s="630">
        <v>9126515.1099999994</v>
      </c>
      <c r="O127" s="630" t="s">
        <v>1228</v>
      </c>
      <c r="P127" s="630">
        <v>10</v>
      </c>
      <c r="Q127" s="630" t="s">
        <v>1362</v>
      </c>
      <c r="R127" s="630" t="s">
        <v>1368</v>
      </c>
      <c r="T127" s="630">
        <v>-9145974.1899999995</v>
      </c>
      <c r="U127" s="679">
        <f t="shared" ref="U127:U163" si="29">+M127+N127+T127</f>
        <v>-21069.699999999255</v>
      </c>
      <c r="W127" s="639"/>
      <c r="Z127" s="630">
        <f t="shared" si="16"/>
        <v>21069.699999999255</v>
      </c>
    </row>
    <row r="128" spans="1:26">
      <c r="A128" s="629">
        <v>5</v>
      </c>
      <c r="B128" s="629" t="s">
        <v>1365</v>
      </c>
      <c r="C128" s="637" t="s">
        <v>1226</v>
      </c>
      <c r="D128" s="629" t="s">
        <v>1377</v>
      </c>
      <c r="E128" s="637" t="s">
        <v>1226</v>
      </c>
      <c r="F128" s="629" t="s">
        <v>1379</v>
      </c>
      <c r="G128" s="629" t="s">
        <v>3413</v>
      </c>
      <c r="H128" s="663">
        <v>0</v>
      </c>
      <c r="M128" s="630">
        <f t="shared" si="28"/>
        <v>0</v>
      </c>
      <c r="N128" s="630">
        <v>0</v>
      </c>
      <c r="O128" s="630" t="s">
        <v>1228</v>
      </c>
      <c r="P128" s="630">
        <v>10</v>
      </c>
      <c r="Q128" s="630" t="s">
        <v>1362</v>
      </c>
      <c r="R128" s="630" t="s">
        <v>1368</v>
      </c>
      <c r="U128" s="679">
        <f t="shared" si="29"/>
        <v>0</v>
      </c>
      <c r="W128" s="639"/>
      <c r="X128" s="644">
        <f>M130+M131+M132+M133+M139+M140+M148+M149+M146+M141+M152+M154+M156+M147</f>
        <v>-2595970.89</v>
      </c>
      <c r="Z128" s="630">
        <f t="shared" si="16"/>
        <v>0</v>
      </c>
    </row>
    <row r="129" spans="1:55">
      <c r="C129" s="637"/>
      <c r="D129" s="629">
        <v>640</v>
      </c>
      <c r="E129" s="637"/>
      <c r="F129" s="629">
        <v>6421</v>
      </c>
      <c r="G129" s="629" t="s">
        <v>2808</v>
      </c>
      <c r="H129" s="663">
        <v>0</v>
      </c>
      <c r="M129" s="630">
        <f t="shared" si="28"/>
        <v>0</v>
      </c>
      <c r="N129" s="630">
        <v>22730</v>
      </c>
      <c r="T129" s="630">
        <v>-22730</v>
      </c>
      <c r="U129" s="679">
        <f t="shared" si="29"/>
        <v>0</v>
      </c>
      <c r="W129" s="639"/>
      <c r="X129" s="679">
        <f>M127+M128+M129+M135+M136+M137+M138+M143+M144+M145+M153</f>
        <v>-159917.53999999998</v>
      </c>
      <c r="Z129" s="630">
        <f t="shared" si="16"/>
        <v>0</v>
      </c>
    </row>
    <row r="130" spans="1:55">
      <c r="A130" s="629">
        <v>5</v>
      </c>
      <c r="B130" s="629" t="s">
        <v>1365</v>
      </c>
      <c r="C130" s="637" t="s">
        <v>1226</v>
      </c>
      <c r="D130" s="629" t="s">
        <v>1377</v>
      </c>
      <c r="E130" s="637" t="s">
        <v>1226</v>
      </c>
      <c r="F130" s="629" t="s">
        <v>1371</v>
      </c>
      <c r="G130" s="629" t="s">
        <v>1380</v>
      </c>
      <c r="H130" s="663">
        <v>-318235.78000000003</v>
      </c>
      <c r="M130" s="691">
        <f t="shared" si="28"/>
        <v>-318235.78000000003</v>
      </c>
      <c r="N130" s="692">
        <v>0</v>
      </c>
      <c r="O130" s="692" t="s">
        <v>1228</v>
      </c>
      <c r="P130" s="692">
        <v>9</v>
      </c>
      <c r="Q130" s="692" t="s">
        <v>1362</v>
      </c>
      <c r="R130" s="692" t="s">
        <v>1368</v>
      </c>
      <c r="S130" s="692"/>
      <c r="T130" s="692">
        <v>0</v>
      </c>
      <c r="U130" s="691">
        <f t="shared" si="29"/>
        <v>-318235.78000000003</v>
      </c>
      <c r="W130" s="639"/>
      <c r="Z130" s="630">
        <f t="shared" si="16"/>
        <v>318235.78000000003</v>
      </c>
    </row>
    <row r="131" spans="1:55">
      <c r="A131" s="629">
        <v>5</v>
      </c>
      <c r="B131" s="629" t="s">
        <v>1365</v>
      </c>
      <c r="C131" s="637" t="s">
        <v>1226</v>
      </c>
      <c r="D131" s="629" t="s">
        <v>1377</v>
      </c>
      <c r="E131" s="637" t="s">
        <v>1226</v>
      </c>
      <c r="F131" s="629" t="s">
        <v>1381</v>
      </c>
      <c r="G131" s="629" t="s">
        <v>1382</v>
      </c>
      <c r="H131" s="663">
        <v>-70051.360000000001</v>
      </c>
      <c r="M131" s="691">
        <f t="shared" si="28"/>
        <v>-70051.360000000001</v>
      </c>
      <c r="N131" s="692">
        <v>0</v>
      </c>
      <c r="O131" s="692" t="s">
        <v>1228</v>
      </c>
      <c r="P131" s="692">
        <v>10</v>
      </c>
      <c r="Q131" s="692" t="s">
        <v>1362</v>
      </c>
      <c r="R131" s="692" t="s">
        <v>1368</v>
      </c>
      <c r="S131" s="692"/>
      <c r="T131" s="692">
        <v>0</v>
      </c>
      <c r="U131" s="691">
        <f t="shared" si="29"/>
        <v>-70051.360000000001</v>
      </c>
      <c r="W131" s="639"/>
      <c r="Z131" s="630">
        <f t="shared" si="16"/>
        <v>70051.360000000001</v>
      </c>
    </row>
    <row r="132" spans="1:55">
      <c r="A132" s="629">
        <v>5</v>
      </c>
      <c r="B132" s="629" t="s">
        <v>1365</v>
      </c>
      <c r="C132" s="637" t="s">
        <v>1226</v>
      </c>
      <c r="D132" s="629" t="s">
        <v>1377</v>
      </c>
      <c r="E132" s="637" t="s">
        <v>1226</v>
      </c>
      <c r="F132" s="629" t="s">
        <v>1383</v>
      </c>
      <c r="G132" s="629" t="s">
        <v>3414</v>
      </c>
      <c r="H132" s="663">
        <v>-1258.99</v>
      </c>
      <c r="M132" s="691">
        <f t="shared" si="28"/>
        <v>-1258.99</v>
      </c>
      <c r="N132" s="692">
        <v>1258.99</v>
      </c>
      <c r="O132" s="692" t="s">
        <v>1228</v>
      </c>
      <c r="P132" s="692">
        <v>10</v>
      </c>
      <c r="Q132" s="692" t="s">
        <v>1362</v>
      </c>
      <c r="R132" s="692" t="s">
        <v>1368</v>
      </c>
      <c r="S132" s="692"/>
      <c r="T132" s="692">
        <v>0</v>
      </c>
      <c r="U132" s="691">
        <f t="shared" si="29"/>
        <v>0</v>
      </c>
      <c r="W132" s="639"/>
      <c r="X132" s="630" t="s">
        <v>1507</v>
      </c>
      <c r="Z132" s="630">
        <f t="shared" si="16"/>
        <v>0</v>
      </c>
    </row>
    <row r="133" spans="1:55">
      <c r="A133" s="629">
        <v>5</v>
      </c>
      <c r="B133" s="629" t="s">
        <v>1365</v>
      </c>
      <c r="C133" s="637" t="s">
        <v>1226</v>
      </c>
      <c r="D133" s="629" t="s">
        <v>1377</v>
      </c>
      <c r="E133" s="637" t="s">
        <v>1226</v>
      </c>
      <c r="F133" s="629" t="s">
        <v>1384</v>
      </c>
      <c r="G133" s="629" t="s">
        <v>3415</v>
      </c>
      <c r="H133" s="663">
        <v>-95581.09</v>
      </c>
      <c r="M133" s="691">
        <f t="shared" si="28"/>
        <v>-95581.09</v>
      </c>
      <c r="N133" s="692">
        <v>0</v>
      </c>
      <c r="O133" s="692" t="s">
        <v>1228</v>
      </c>
      <c r="P133" s="692">
        <v>10</v>
      </c>
      <c r="Q133" s="692" t="s">
        <v>1362</v>
      </c>
      <c r="R133" s="692" t="s">
        <v>1368</v>
      </c>
      <c r="S133" s="692"/>
      <c r="T133" s="692">
        <v>0</v>
      </c>
      <c r="U133" s="691">
        <f t="shared" si="29"/>
        <v>-95581.09</v>
      </c>
      <c r="W133" s="639"/>
      <c r="X133" s="630">
        <f>+M139+M141+M146+M148+M159+M158+M147</f>
        <v>-303595.93000000005</v>
      </c>
      <c r="Y133" s="666" t="s">
        <v>3558</v>
      </c>
      <c r="Z133" s="630">
        <f t="shared" si="16"/>
        <v>97588.09</v>
      </c>
    </row>
    <row r="134" spans="1:55">
      <c r="A134" s="629">
        <v>5</v>
      </c>
      <c r="B134" s="629" t="s">
        <v>1365</v>
      </c>
      <c r="C134" s="637" t="s">
        <v>1226</v>
      </c>
      <c r="D134" s="629" t="s">
        <v>1377</v>
      </c>
      <c r="E134" s="637" t="s">
        <v>1226</v>
      </c>
      <c r="F134" s="629" t="s">
        <v>1385</v>
      </c>
      <c r="G134" s="629" t="s">
        <v>903</v>
      </c>
      <c r="H134" s="663">
        <v>-3240000</v>
      </c>
      <c r="M134" s="630">
        <f t="shared" si="28"/>
        <v>-3240000</v>
      </c>
      <c r="N134" s="630">
        <v>3240000</v>
      </c>
      <c r="O134" s="630" t="s">
        <v>1228</v>
      </c>
      <c r="P134" s="630">
        <v>9</v>
      </c>
      <c r="Q134" s="630" t="s">
        <v>1374</v>
      </c>
      <c r="R134" s="630" t="s">
        <v>1386</v>
      </c>
      <c r="U134" s="630">
        <f t="shared" si="29"/>
        <v>0</v>
      </c>
      <c r="W134" s="639"/>
      <c r="X134" s="678">
        <f>+U139+U141+U146+U159+U158+U147</f>
        <v>-2112319.6</v>
      </c>
      <c r="Y134" s="666" t="s">
        <v>2241</v>
      </c>
      <c r="Z134" s="630">
        <f t="shared" si="16"/>
        <v>2008</v>
      </c>
    </row>
    <row r="135" spans="1:55">
      <c r="A135" s="629">
        <v>5</v>
      </c>
      <c r="B135" s="629" t="s">
        <v>1365</v>
      </c>
      <c r="C135" s="637" t="s">
        <v>1226</v>
      </c>
      <c r="D135" s="629" t="s">
        <v>1377</v>
      </c>
      <c r="E135" s="637" t="s">
        <v>1226</v>
      </c>
      <c r="F135" s="629" t="s">
        <v>1387</v>
      </c>
      <c r="G135" s="629" t="s">
        <v>3416</v>
      </c>
      <c r="H135" s="663">
        <v>0.08</v>
      </c>
      <c r="M135" s="630">
        <f t="shared" si="28"/>
        <v>0.08</v>
      </c>
      <c r="N135" s="630">
        <v>0</v>
      </c>
      <c r="O135" s="630" t="s">
        <v>1228</v>
      </c>
      <c r="P135" s="630">
        <v>9</v>
      </c>
      <c r="Q135" s="630" t="s">
        <v>1362</v>
      </c>
      <c r="R135" s="630" t="s">
        <v>1368</v>
      </c>
      <c r="T135" s="630">
        <v>-0.08</v>
      </c>
      <c r="U135" s="679">
        <f t="shared" si="29"/>
        <v>0</v>
      </c>
      <c r="W135" s="639"/>
      <c r="Z135" s="630">
        <f t="shared" si="16"/>
        <v>0</v>
      </c>
    </row>
    <row r="136" spans="1:55">
      <c r="A136" s="629">
        <v>5</v>
      </c>
      <c r="B136" s="629" t="s">
        <v>1365</v>
      </c>
      <c r="C136" s="637" t="s">
        <v>1226</v>
      </c>
      <c r="D136" s="629" t="s">
        <v>1377</v>
      </c>
      <c r="E136" s="637" t="s">
        <v>1226</v>
      </c>
      <c r="F136" s="629" t="s">
        <v>1388</v>
      </c>
      <c r="G136" s="629" t="s">
        <v>1389</v>
      </c>
      <c r="H136" s="663">
        <v>-24022.54</v>
      </c>
      <c r="M136" s="679">
        <f t="shared" si="28"/>
        <v>-24022.54</v>
      </c>
      <c r="N136" s="630">
        <v>0</v>
      </c>
      <c r="O136" s="630" t="s">
        <v>1228</v>
      </c>
      <c r="P136" s="630">
        <v>9</v>
      </c>
      <c r="Q136" s="630" t="s">
        <v>1362</v>
      </c>
      <c r="R136" s="630" t="s">
        <v>1368</v>
      </c>
      <c r="U136" s="679">
        <f t="shared" si="29"/>
        <v>-24022.54</v>
      </c>
      <c r="W136" s="639"/>
      <c r="Z136" s="630">
        <f>Y137-U136</f>
        <v>24022.54</v>
      </c>
    </row>
    <row r="137" spans="1:55">
      <c r="A137" s="629">
        <v>5</v>
      </c>
      <c r="B137" s="629" t="s">
        <v>1365</v>
      </c>
      <c r="C137" s="637" t="s">
        <v>1226</v>
      </c>
      <c r="D137" s="629" t="s">
        <v>1377</v>
      </c>
      <c r="E137" s="637" t="s">
        <v>1226</v>
      </c>
      <c r="F137" s="629" t="s">
        <v>1390</v>
      </c>
      <c r="G137" s="629" t="s">
        <v>1391</v>
      </c>
      <c r="H137" s="663">
        <v>-17801.25</v>
      </c>
      <c r="M137" s="679">
        <f t="shared" si="28"/>
        <v>-17801.25</v>
      </c>
      <c r="N137" s="630">
        <v>0</v>
      </c>
      <c r="O137" s="630" t="s">
        <v>1228</v>
      </c>
      <c r="P137" s="630">
        <v>10</v>
      </c>
      <c r="Q137" s="630" t="s">
        <v>1362</v>
      </c>
      <c r="R137" s="630" t="s">
        <v>1368</v>
      </c>
      <c r="U137" s="679">
        <f t="shared" si="29"/>
        <v>-17801.25</v>
      </c>
      <c r="W137" s="639"/>
      <c r="X137" s="630" t="s">
        <v>1508</v>
      </c>
      <c r="Z137" s="630">
        <f>Y138-U137</f>
        <v>19808.25</v>
      </c>
    </row>
    <row r="138" spans="1:55">
      <c r="A138" s="629">
        <v>5</v>
      </c>
      <c r="B138" s="629">
        <v>640</v>
      </c>
      <c r="C138" s="637" t="s">
        <v>1226</v>
      </c>
      <c r="D138" s="629" t="s">
        <v>1377</v>
      </c>
      <c r="E138" s="637" t="s">
        <v>1226</v>
      </c>
      <c r="F138" s="629" t="s">
        <v>1392</v>
      </c>
      <c r="G138" s="629" t="s">
        <v>1393</v>
      </c>
      <c r="H138" s="663">
        <v>0</v>
      </c>
      <c r="M138" s="630">
        <f t="shared" si="28"/>
        <v>0</v>
      </c>
      <c r="N138" s="630">
        <v>0</v>
      </c>
      <c r="O138" s="630">
        <v>0</v>
      </c>
      <c r="P138" s="630">
        <v>0</v>
      </c>
      <c r="Q138" s="630">
        <v>0</v>
      </c>
      <c r="R138" s="630">
        <v>0</v>
      </c>
      <c r="S138" s="630">
        <v>0</v>
      </c>
      <c r="T138" s="630">
        <v>0</v>
      </c>
      <c r="U138" s="679">
        <f t="shared" si="29"/>
        <v>0</v>
      </c>
      <c r="W138" s="639"/>
      <c r="X138" s="630">
        <f>M127+M134+M135+M136+M137+M142+M143+M144+M145+M147+M153+M155+M157+M160+M161+M162+M163</f>
        <v>-5762642.1900000004</v>
      </c>
      <c r="Y138" s="666" t="s">
        <v>3558</v>
      </c>
      <c r="Z138" s="630">
        <f>Y139-U138</f>
        <v>2008</v>
      </c>
    </row>
    <row r="139" spans="1:55">
      <c r="A139" s="629">
        <v>5</v>
      </c>
      <c r="B139" s="629" t="s">
        <v>1365</v>
      </c>
      <c r="C139" s="637" t="s">
        <v>1226</v>
      </c>
      <c r="D139" s="629" t="s">
        <v>1377</v>
      </c>
      <c r="E139" s="637" t="s">
        <v>1226</v>
      </c>
      <c r="F139" s="629" t="s">
        <v>1394</v>
      </c>
      <c r="G139" s="629" t="s">
        <v>1395</v>
      </c>
      <c r="H139" s="663">
        <v>-86917.96</v>
      </c>
      <c r="M139" s="690">
        <f t="shared" si="28"/>
        <v>-86917.96</v>
      </c>
      <c r="N139" s="686">
        <v>0</v>
      </c>
      <c r="O139" s="686" t="s">
        <v>1228</v>
      </c>
      <c r="P139" s="686">
        <v>10</v>
      </c>
      <c r="Q139" s="686" t="s">
        <v>1362</v>
      </c>
      <c r="R139" s="686" t="s">
        <v>1368</v>
      </c>
      <c r="S139" s="686"/>
      <c r="T139" s="686"/>
      <c r="U139" s="690">
        <f t="shared" si="29"/>
        <v>-86917.96</v>
      </c>
      <c r="W139" s="639"/>
      <c r="X139" s="630">
        <f>U127+U128+U129+U134+U135+U136+U137+U138+U142+U143+U144+U145+U147+U150+U151+U155+U157+U158+U160+U161+U162+U163</f>
        <v>-10982109.959999997</v>
      </c>
      <c r="Y139" s="666" t="s">
        <v>2241</v>
      </c>
      <c r="Z139" s="630" t="e">
        <f>#REF!-U139</f>
        <v>#REF!</v>
      </c>
    </row>
    <row r="140" spans="1:55">
      <c r="A140" s="629">
        <v>5</v>
      </c>
      <c r="B140" s="629" t="s">
        <v>1365</v>
      </c>
      <c r="C140" s="637" t="s">
        <v>1226</v>
      </c>
      <c r="D140" s="629" t="s">
        <v>1377</v>
      </c>
      <c r="E140" s="637" t="s">
        <v>1226</v>
      </c>
      <c r="F140" s="629" t="s">
        <v>1396</v>
      </c>
      <c r="G140" s="629" t="s">
        <v>904</v>
      </c>
      <c r="H140" s="663">
        <v>-833000</v>
      </c>
      <c r="M140" s="691">
        <f t="shared" si="28"/>
        <v>-833000</v>
      </c>
      <c r="N140" s="692">
        <v>857673.78</v>
      </c>
      <c r="O140" s="692" t="s">
        <v>1228</v>
      </c>
      <c r="P140" s="692">
        <v>9</v>
      </c>
      <c r="Q140" s="692" t="s">
        <v>1374</v>
      </c>
      <c r="R140" s="692" t="s">
        <v>1386</v>
      </c>
      <c r="S140" s="692"/>
      <c r="T140" s="692">
        <v>-857673.78</v>
      </c>
      <c r="U140" s="691">
        <f t="shared" si="29"/>
        <v>-833000</v>
      </c>
      <c r="W140" s="639"/>
      <c r="Z140" s="630">
        <f t="shared" ref="Z140:Z199" si="30">Y140-U140</f>
        <v>833000</v>
      </c>
    </row>
    <row r="141" spans="1:55">
      <c r="A141" s="629">
        <v>5</v>
      </c>
      <c r="B141" s="629" t="s">
        <v>1365</v>
      </c>
      <c r="C141" s="637" t="s">
        <v>1226</v>
      </c>
      <c r="D141" s="629" t="s">
        <v>1377</v>
      </c>
      <c r="E141" s="637" t="s">
        <v>1226</v>
      </c>
      <c r="F141" s="629" t="s">
        <v>1397</v>
      </c>
      <c r="G141" s="629" t="s">
        <v>3417</v>
      </c>
      <c r="H141" s="663">
        <v>-4952.33</v>
      </c>
      <c r="M141" s="690">
        <f t="shared" si="28"/>
        <v>-4952.33</v>
      </c>
      <c r="N141" s="686">
        <v>0</v>
      </c>
      <c r="O141" s="686" t="s">
        <v>1228</v>
      </c>
      <c r="P141" s="686">
        <v>10</v>
      </c>
      <c r="Q141" s="686" t="s">
        <v>1362</v>
      </c>
      <c r="R141" s="686" t="s">
        <v>1368</v>
      </c>
      <c r="S141" s="686"/>
      <c r="T141" s="686">
        <v>0</v>
      </c>
      <c r="U141" s="690">
        <f t="shared" si="29"/>
        <v>-4952.33</v>
      </c>
      <c r="W141" s="639"/>
      <c r="X141" s="630" t="s">
        <v>1507</v>
      </c>
      <c r="Z141" s="630">
        <f t="shared" si="30"/>
        <v>4952.33</v>
      </c>
    </row>
    <row r="142" spans="1:55">
      <c r="A142" s="629">
        <v>5</v>
      </c>
      <c r="B142" s="629" t="s">
        <v>1365</v>
      </c>
      <c r="C142" s="637" t="s">
        <v>1226</v>
      </c>
      <c r="D142" s="629" t="s">
        <v>1377</v>
      </c>
      <c r="E142" s="637" t="s">
        <v>1226</v>
      </c>
      <c r="F142" s="629" t="s">
        <v>1398</v>
      </c>
      <c r="G142" s="629" t="s">
        <v>45</v>
      </c>
      <c r="H142" s="663">
        <v>-726426.18</v>
      </c>
      <c r="M142" s="630">
        <f t="shared" si="28"/>
        <v>-726426.18</v>
      </c>
      <c r="N142" s="630">
        <v>1452852.36</v>
      </c>
      <c r="O142" s="630" t="s">
        <v>1228</v>
      </c>
      <c r="P142" s="630">
        <v>9</v>
      </c>
      <c r="Q142" s="630" t="s">
        <v>1374</v>
      </c>
      <c r="R142" s="630" t="s">
        <v>1386</v>
      </c>
      <c r="T142" s="630">
        <v>-2160006.1800000002</v>
      </c>
      <c r="U142" s="630">
        <f t="shared" si="29"/>
        <v>-1433580</v>
      </c>
      <c r="W142" s="639"/>
      <c r="X142" s="630">
        <f>X133+X138</f>
        <v>-6066238.1200000001</v>
      </c>
      <c r="Y142" s="666" t="s">
        <v>3558</v>
      </c>
      <c r="Z142" s="630">
        <f t="shared" si="30"/>
        <v>1435587</v>
      </c>
    </row>
    <row r="143" spans="1:55">
      <c r="A143" s="629">
        <v>5</v>
      </c>
      <c r="B143" s="629" t="s">
        <v>1365</v>
      </c>
      <c r="C143" s="637" t="s">
        <v>1226</v>
      </c>
      <c r="D143" s="629" t="s">
        <v>1377</v>
      </c>
      <c r="E143" s="637" t="s">
        <v>1226</v>
      </c>
      <c r="F143" s="629" t="s">
        <v>46</v>
      </c>
      <c r="G143" s="629" t="s">
        <v>905</v>
      </c>
      <c r="H143" s="663">
        <v>-26561.11</v>
      </c>
      <c r="M143" s="679">
        <f t="shared" si="28"/>
        <v>-26561.11</v>
      </c>
      <c r="N143" s="630">
        <v>10501.61</v>
      </c>
      <c r="O143" s="630" t="s">
        <v>1228</v>
      </c>
      <c r="P143" s="630">
        <v>2</v>
      </c>
      <c r="Q143" s="630" t="s">
        <v>1241</v>
      </c>
      <c r="T143" s="630">
        <v>-9573.3799999999992</v>
      </c>
      <c r="U143" s="679">
        <f t="shared" si="29"/>
        <v>-25632.879999999997</v>
      </c>
      <c r="W143" s="639"/>
      <c r="X143" s="630">
        <f>X134+X139</f>
        <v>-13094429.559999997</v>
      </c>
      <c r="Y143" s="666" t="s">
        <v>2241</v>
      </c>
      <c r="Z143" s="630">
        <f>Y147-U143</f>
        <v>-2543097.37</v>
      </c>
    </row>
    <row r="144" spans="1:55" s="1200" customFormat="1">
      <c r="B144" s="1200">
        <v>640</v>
      </c>
      <c r="C144" s="1201"/>
      <c r="D144" s="1200">
        <v>641</v>
      </c>
      <c r="E144" s="1201"/>
      <c r="F144" s="1200">
        <v>6447</v>
      </c>
      <c r="G144" s="1200" t="s">
        <v>3689</v>
      </c>
      <c r="H144" s="1202">
        <v>0</v>
      </c>
      <c r="I144" s="1203"/>
      <c r="J144" s="1203"/>
      <c r="K144" s="1203"/>
      <c r="L144" s="1203"/>
      <c r="M144" s="1204">
        <f t="shared" si="28"/>
        <v>0</v>
      </c>
      <c r="N144" s="1204">
        <v>0</v>
      </c>
      <c r="O144" s="1204"/>
      <c r="P144" s="1204"/>
      <c r="Q144" s="1204"/>
      <c r="R144" s="1204"/>
      <c r="S144" s="1204"/>
      <c r="T144" s="1204">
        <v>-5200457.41</v>
      </c>
      <c r="U144" s="1204">
        <f t="shared" si="29"/>
        <v>-5200457.41</v>
      </c>
      <c r="W144" s="1205"/>
      <c r="X144" s="1204">
        <f>X142-M165</f>
        <v>2265134.3199999994</v>
      </c>
      <c r="Y144" s="1204"/>
      <c r="Z144" s="1204">
        <f t="shared" si="30"/>
        <v>5200457.41</v>
      </c>
      <c r="AA144" s="1204"/>
      <c r="AB144" s="1204"/>
      <c r="AC144" s="1204"/>
      <c r="AD144" s="1204"/>
      <c r="AE144" s="1204"/>
      <c r="AF144" s="1204"/>
      <c r="AG144" s="1204"/>
      <c r="AH144" s="1204"/>
      <c r="AI144" s="1204"/>
      <c r="AJ144" s="1204"/>
      <c r="AK144" s="1204"/>
      <c r="AL144" s="1204"/>
      <c r="AM144" s="1204"/>
      <c r="AN144" s="1204"/>
      <c r="AO144" s="1204"/>
      <c r="AP144" s="1204"/>
      <c r="AQ144" s="1204"/>
      <c r="AR144" s="1204"/>
      <c r="AS144" s="1204"/>
      <c r="AT144" s="1204"/>
      <c r="AU144" s="1204"/>
      <c r="AV144" s="1204"/>
      <c r="AW144" s="1204"/>
      <c r="AX144" s="1204"/>
      <c r="AY144" s="1204"/>
      <c r="AZ144" s="1204"/>
      <c r="BA144" s="1204"/>
      <c r="BB144" s="1204"/>
      <c r="BC144" s="1204"/>
    </row>
    <row r="145" spans="1:26">
      <c r="A145" s="629">
        <v>5</v>
      </c>
      <c r="B145" s="629" t="s">
        <v>1365</v>
      </c>
      <c r="C145" s="637" t="s">
        <v>1226</v>
      </c>
      <c r="D145" s="629" t="s">
        <v>1377</v>
      </c>
      <c r="E145" s="637" t="s">
        <v>1226</v>
      </c>
      <c r="F145" s="640">
        <v>6448</v>
      </c>
      <c r="G145" s="629" t="s">
        <v>47</v>
      </c>
      <c r="H145" s="663">
        <v>-32618.76</v>
      </c>
      <c r="M145" s="679">
        <f t="shared" si="28"/>
        <v>-32618.76</v>
      </c>
      <c r="N145" s="630">
        <v>0</v>
      </c>
      <c r="O145" s="630" t="s">
        <v>1228</v>
      </c>
      <c r="R145" s="630" t="s">
        <v>1368</v>
      </c>
      <c r="U145" s="630">
        <f t="shared" si="29"/>
        <v>-32618.76</v>
      </c>
      <c r="W145" s="639"/>
      <c r="X145" s="630">
        <f>X143-U165</f>
        <v>695662.86999999918</v>
      </c>
      <c r="Z145" s="630">
        <f t="shared" si="30"/>
        <v>32618.76</v>
      </c>
    </row>
    <row r="146" spans="1:26">
      <c r="B146" s="629" t="s">
        <v>1365</v>
      </c>
      <c r="C146" s="637" t="s">
        <v>1226</v>
      </c>
      <c r="D146" s="629" t="s">
        <v>1377</v>
      </c>
      <c r="E146" s="637"/>
      <c r="F146" s="640">
        <v>6451</v>
      </c>
      <c r="G146" s="629" t="s">
        <v>48</v>
      </c>
      <c r="H146" s="663">
        <v>-141100</v>
      </c>
      <c r="M146" s="690">
        <f t="shared" si="28"/>
        <v>-141100</v>
      </c>
      <c r="N146" s="686">
        <v>1529100</v>
      </c>
      <c r="O146" s="686"/>
      <c r="P146" s="686"/>
      <c r="Q146" s="686"/>
      <c r="R146" s="686"/>
      <c r="S146" s="686"/>
      <c r="T146" s="686">
        <v>-2388000</v>
      </c>
      <c r="U146" s="690">
        <f t="shared" si="29"/>
        <v>-1000000</v>
      </c>
      <c r="W146" s="639"/>
      <c r="Z146" s="630">
        <f t="shared" si="30"/>
        <v>1000000</v>
      </c>
    </row>
    <row r="147" spans="1:26">
      <c r="B147" s="629">
        <v>640</v>
      </c>
      <c r="C147" s="637"/>
      <c r="D147" s="629">
        <v>641</v>
      </c>
      <c r="E147" s="637"/>
      <c r="F147" s="640">
        <v>6452</v>
      </c>
      <c r="G147" s="629" t="s">
        <v>49</v>
      </c>
      <c r="H147" s="663">
        <v>-27240.639999999999</v>
      </c>
      <c r="M147" s="690">
        <f t="shared" si="28"/>
        <v>-27240.639999999999</v>
      </c>
      <c r="N147" s="686">
        <v>1058322.73</v>
      </c>
      <c r="O147" s="686"/>
      <c r="P147" s="686"/>
      <c r="Q147" s="686"/>
      <c r="R147" s="686"/>
      <c r="S147" s="686"/>
      <c r="T147" s="686">
        <v>-1058322.73</v>
      </c>
      <c r="U147" s="688">
        <f t="shared" si="29"/>
        <v>-27240.640000000014</v>
      </c>
      <c r="W147" s="639"/>
      <c r="Y147" s="645">
        <f>+M130+M131+M132+M133+M139+M140+M141+M146+M148+M149+M152+M156+M154</f>
        <v>-2568730.25</v>
      </c>
      <c r="Z147" s="630" t="e">
        <f>#REF!-U147</f>
        <v>#REF!</v>
      </c>
    </row>
    <row r="148" spans="1:26">
      <c r="B148" s="629" t="s">
        <v>1365</v>
      </c>
      <c r="C148" s="637" t="s">
        <v>1226</v>
      </c>
      <c r="D148" s="629" t="s">
        <v>1377</v>
      </c>
      <c r="E148" s="637"/>
      <c r="F148" s="640">
        <v>6453</v>
      </c>
      <c r="G148" s="629" t="s">
        <v>50</v>
      </c>
      <c r="H148" s="663">
        <v>-43385</v>
      </c>
      <c r="M148" s="690">
        <f t="shared" si="28"/>
        <v>-43385</v>
      </c>
      <c r="N148" s="686">
        <v>1153559.17</v>
      </c>
      <c r="O148" s="686"/>
      <c r="P148" s="686"/>
      <c r="Q148" s="686"/>
      <c r="R148" s="686"/>
      <c r="S148" s="686"/>
      <c r="T148" s="686">
        <v>-1110174.17</v>
      </c>
      <c r="U148" s="690">
        <f t="shared" si="29"/>
        <v>0</v>
      </c>
      <c r="W148" s="639"/>
      <c r="Z148" s="630">
        <f t="shared" si="30"/>
        <v>0</v>
      </c>
    </row>
    <row r="149" spans="1:26">
      <c r="B149" s="629" t="s">
        <v>1365</v>
      </c>
      <c r="C149" s="637" t="s">
        <v>1226</v>
      </c>
      <c r="D149" s="629" t="s">
        <v>1377</v>
      </c>
      <c r="E149" s="637"/>
      <c r="F149" s="640">
        <v>6454</v>
      </c>
      <c r="G149" s="629" t="s">
        <v>51</v>
      </c>
      <c r="H149" s="663">
        <v>-82600</v>
      </c>
      <c r="M149" s="691">
        <f t="shared" si="28"/>
        <v>-82600</v>
      </c>
      <c r="N149" s="692">
        <v>95000</v>
      </c>
      <c r="O149" s="692"/>
      <c r="P149" s="692"/>
      <c r="Q149" s="692"/>
      <c r="R149" s="692"/>
      <c r="S149" s="692"/>
      <c r="T149" s="692">
        <v>-95000</v>
      </c>
      <c r="U149" s="691">
        <f t="shared" si="29"/>
        <v>-82600</v>
      </c>
      <c r="W149" s="639"/>
      <c r="Z149" s="630">
        <f t="shared" si="30"/>
        <v>82600</v>
      </c>
    </row>
    <row r="150" spans="1:26">
      <c r="B150" s="629">
        <v>640</v>
      </c>
      <c r="C150" s="637"/>
      <c r="D150" s="629">
        <v>641</v>
      </c>
      <c r="E150" s="637"/>
      <c r="F150" s="640">
        <v>6464</v>
      </c>
      <c r="G150" s="629" t="s">
        <v>52</v>
      </c>
      <c r="H150" s="663">
        <v>0</v>
      </c>
      <c r="M150" s="630">
        <f t="shared" si="28"/>
        <v>0</v>
      </c>
      <c r="N150" s="646">
        <v>0</v>
      </c>
      <c r="U150" s="630">
        <f t="shared" si="29"/>
        <v>0</v>
      </c>
      <c r="W150" s="639"/>
      <c r="Z150" s="630">
        <f t="shared" si="30"/>
        <v>0</v>
      </c>
    </row>
    <row r="151" spans="1:26">
      <c r="B151" s="629" t="s">
        <v>1365</v>
      </c>
      <c r="C151" s="637" t="s">
        <v>1226</v>
      </c>
      <c r="D151" s="629" t="s">
        <v>1377</v>
      </c>
      <c r="E151" s="637"/>
      <c r="F151" s="640"/>
      <c r="G151" s="629" t="s">
        <v>3527</v>
      </c>
      <c r="H151" s="663">
        <v>0</v>
      </c>
      <c r="M151" s="630">
        <f t="shared" si="28"/>
        <v>0</v>
      </c>
      <c r="N151" s="630">
        <v>0</v>
      </c>
      <c r="U151" s="630">
        <f t="shared" si="29"/>
        <v>0</v>
      </c>
      <c r="W151" s="639"/>
      <c r="Z151" s="630">
        <f t="shared" si="30"/>
        <v>0</v>
      </c>
    </row>
    <row r="152" spans="1:26">
      <c r="B152" s="629">
        <v>640</v>
      </c>
      <c r="C152" s="637" t="s">
        <v>1226</v>
      </c>
      <c r="D152" s="629">
        <v>641</v>
      </c>
      <c r="E152" s="637"/>
      <c r="F152" s="640">
        <v>6455</v>
      </c>
      <c r="G152" s="629" t="s">
        <v>3528</v>
      </c>
      <c r="H152" s="663">
        <v>-822017.94</v>
      </c>
      <c r="M152" s="691">
        <f>H152+I152+L152</f>
        <v>-822017.94</v>
      </c>
      <c r="N152" s="692">
        <v>836611.99</v>
      </c>
      <c r="O152" s="692"/>
      <c r="P152" s="692"/>
      <c r="Q152" s="692"/>
      <c r="R152" s="692"/>
      <c r="S152" s="692"/>
      <c r="T152" s="692">
        <v>-261608.2</v>
      </c>
      <c r="U152" s="691">
        <f t="shared" si="29"/>
        <v>-247014.14999999997</v>
      </c>
      <c r="W152" s="639"/>
      <c r="Z152" s="630">
        <f t="shared" si="30"/>
        <v>247014.14999999997</v>
      </c>
    </row>
    <row r="153" spans="1:26">
      <c r="B153" s="629">
        <v>640</v>
      </c>
      <c r="C153" s="637" t="s">
        <v>1226</v>
      </c>
      <c r="D153" s="629">
        <v>641</v>
      </c>
      <c r="E153" s="637"/>
      <c r="F153" s="640">
        <v>6456</v>
      </c>
      <c r="G153" s="629" t="s">
        <v>3421</v>
      </c>
      <c r="H153" s="663">
        <v>-57303.34</v>
      </c>
      <c r="M153" s="679">
        <f t="shared" si="28"/>
        <v>-57303.34</v>
      </c>
      <c r="N153" s="630">
        <v>220875.99</v>
      </c>
      <c r="T153" s="630">
        <v>-163572.65</v>
      </c>
      <c r="U153" s="679">
        <f t="shared" si="29"/>
        <v>0</v>
      </c>
      <c r="W153" s="639"/>
      <c r="Z153" s="630">
        <f t="shared" si="30"/>
        <v>0</v>
      </c>
    </row>
    <row r="154" spans="1:26">
      <c r="B154" s="629">
        <v>640</v>
      </c>
      <c r="C154" s="637" t="s">
        <v>1226</v>
      </c>
      <c r="D154" s="629">
        <v>641</v>
      </c>
      <c r="E154" s="637"/>
      <c r="F154" s="640">
        <v>6457</v>
      </c>
      <c r="G154" s="629" t="s">
        <v>906</v>
      </c>
      <c r="H154" s="663">
        <v>-15043.11</v>
      </c>
      <c r="M154" s="691">
        <f t="shared" si="28"/>
        <v>-15043.11</v>
      </c>
      <c r="N154" s="692">
        <v>0</v>
      </c>
      <c r="O154" s="692"/>
      <c r="P154" s="692"/>
      <c r="Q154" s="692"/>
      <c r="R154" s="692"/>
      <c r="S154" s="692"/>
      <c r="T154" s="692"/>
      <c r="U154" s="691">
        <f t="shared" si="29"/>
        <v>-15043.11</v>
      </c>
      <c r="V154" s="641"/>
      <c r="W154" s="639"/>
      <c r="Z154" s="630">
        <f t="shared" si="30"/>
        <v>15043.11</v>
      </c>
    </row>
    <row r="155" spans="1:26">
      <c r="B155" s="629">
        <v>640</v>
      </c>
      <c r="C155" s="637" t="s">
        <v>1226</v>
      </c>
      <c r="D155" s="629">
        <v>641</v>
      </c>
      <c r="E155" s="637"/>
      <c r="F155" s="640">
        <v>6458</v>
      </c>
      <c r="G155" s="629" t="s">
        <v>907</v>
      </c>
      <c r="H155" s="663">
        <v>-19325.45</v>
      </c>
      <c r="M155" s="630">
        <f t="shared" si="28"/>
        <v>-19325.45</v>
      </c>
      <c r="N155" s="630">
        <v>0</v>
      </c>
      <c r="U155" s="630">
        <f t="shared" si="29"/>
        <v>-19325.45</v>
      </c>
      <c r="W155" s="639"/>
      <c r="Z155" s="630">
        <f t="shared" si="30"/>
        <v>19325.45</v>
      </c>
    </row>
    <row r="156" spans="1:26">
      <c r="B156" s="629">
        <v>640</v>
      </c>
      <c r="C156" s="637" t="s">
        <v>1226</v>
      </c>
      <c r="D156" s="629">
        <v>641</v>
      </c>
      <c r="E156" s="637"/>
      <c r="F156" s="640">
        <v>6459</v>
      </c>
      <c r="G156" s="629" t="s">
        <v>908</v>
      </c>
      <c r="H156" s="663">
        <v>-54586.69</v>
      </c>
      <c r="M156" s="644">
        <f t="shared" si="28"/>
        <v>-54586.69</v>
      </c>
      <c r="N156" s="630">
        <v>0</v>
      </c>
      <c r="U156" s="683">
        <f t="shared" si="29"/>
        <v>-54586.69</v>
      </c>
      <c r="W156" s="639"/>
      <c r="Z156" s="630">
        <f t="shared" si="30"/>
        <v>54586.69</v>
      </c>
    </row>
    <row r="157" spans="1:26">
      <c r="B157" s="629">
        <v>640</v>
      </c>
      <c r="C157" s="637" t="s">
        <v>1226</v>
      </c>
      <c r="D157" s="629">
        <v>641</v>
      </c>
      <c r="E157" s="637"/>
      <c r="F157" s="640">
        <v>6460</v>
      </c>
      <c r="G157" s="629" t="s">
        <v>3237</v>
      </c>
      <c r="H157" s="663">
        <v>-27466.02</v>
      </c>
      <c r="M157" s="630">
        <f t="shared" si="28"/>
        <v>-27466.02</v>
      </c>
      <c r="N157" s="630">
        <v>0</v>
      </c>
      <c r="U157" s="630">
        <f t="shared" si="29"/>
        <v>-27466.02</v>
      </c>
      <c r="W157" s="639"/>
      <c r="Z157" s="630">
        <f t="shared" si="30"/>
        <v>27466.02</v>
      </c>
    </row>
    <row r="158" spans="1:26">
      <c r="B158" s="629">
        <v>640</v>
      </c>
      <c r="C158" s="637" t="s">
        <v>1226</v>
      </c>
      <c r="D158" s="629">
        <v>641</v>
      </c>
      <c r="E158" s="637"/>
      <c r="F158" s="684">
        <v>6461</v>
      </c>
      <c r="G158" s="685" t="s">
        <v>909</v>
      </c>
      <c r="H158" s="686">
        <v>0</v>
      </c>
      <c r="I158" s="687"/>
      <c r="J158" s="687"/>
      <c r="K158" s="687"/>
      <c r="L158" s="687"/>
      <c r="M158" s="686">
        <f t="shared" si="28"/>
        <v>0</v>
      </c>
      <c r="N158" s="686">
        <v>0</v>
      </c>
      <c r="O158" s="686"/>
      <c r="P158" s="686"/>
      <c r="Q158" s="686"/>
      <c r="R158" s="686"/>
      <c r="S158" s="686"/>
      <c r="T158" s="686">
        <v>-993208.67</v>
      </c>
      <c r="U158" s="688">
        <f t="shared" si="29"/>
        <v>-993208.67</v>
      </c>
      <c r="V158" s="685"/>
      <c r="W158" s="689"/>
      <c r="X158" s="686"/>
      <c r="Y158" s="686"/>
      <c r="Z158" s="686">
        <f t="shared" si="30"/>
        <v>993208.67</v>
      </c>
    </row>
    <row r="159" spans="1:26">
      <c r="B159" s="629">
        <v>640</v>
      </c>
      <c r="C159" s="637" t="s">
        <v>1226</v>
      </c>
      <c r="D159" s="629">
        <v>641</v>
      </c>
      <c r="E159" s="637"/>
      <c r="F159" s="640">
        <v>6462</v>
      </c>
      <c r="G159" s="629" t="s">
        <v>910</v>
      </c>
      <c r="H159" s="663">
        <v>0</v>
      </c>
      <c r="M159" s="644">
        <f t="shared" si="28"/>
        <v>0</v>
      </c>
      <c r="N159" s="630">
        <v>286368</v>
      </c>
      <c r="T159" s="630">
        <v>-286368</v>
      </c>
      <c r="U159" s="644">
        <f t="shared" si="29"/>
        <v>0</v>
      </c>
      <c r="W159" s="639"/>
      <c r="Z159" s="630">
        <f t="shared" si="30"/>
        <v>0</v>
      </c>
    </row>
    <row r="160" spans="1:26">
      <c r="C160" s="637"/>
      <c r="D160" s="629">
        <v>641</v>
      </c>
      <c r="E160" s="637"/>
      <c r="F160" s="640">
        <v>6463</v>
      </c>
      <c r="G160" s="629" t="s">
        <v>915</v>
      </c>
      <c r="H160" s="663">
        <v>0</v>
      </c>
      <c r="K160" s="667">
        <v>-1562266.36</v>
      </c>
      <c r="L160" s="667">
        <v>0</v>
      </c>
      <c r="M160" s="679">
        <f>H160+I160+L160+K160</f>
        <v>-1562266.36</v>
      </c>
      <c r="N160" s="630">
        <v>596157.11</v>
      </c>
      <c r="T160" s="630">
        <v>-1236697.06</v>
      </c>
      <c r="U160" s="679">
        <f t="shared" si="29"/>
        <v>-2202806.31</v>
      </c>
      <c r="W160" s="639"/>
      <c r="X160" s="630">
        <v>640479.93999999994</v>
      </c>
      <c r="Y160" s="630">
        <f>X160+T160</f>
        <v>-596217.12000000011</v>
      </c>
      <c r="Z160" s="630">
        <f t="shared" si="30"/>
        <v>1606589.19</v>
      </c>
    </row>
    <row r="161" spans="1:55">
      <c r="C161" s="637"/>
      <c r="D161" s="629">
        <v>640</v>
      </c>
      <c r="E161" s="637"/>
      <c r="F161" s="640">
        <v>6464</v>
      </c>
      <c r="G161" s="629" t="s">
        <v>2807</v>
      </c>
      <c r="M161" s="630">
        <f t="shared" si="28"/>
        <v>0</v>
      </c>
      <c r="T161" s="630">
        <v>-295466.28999999998</v>
      </c>
      <c r="U161" s="630">
        <f t="shared" si="29"/>
        <v>-295466.28999999998</v>
      </c>
      <c r="W161" s="639"/>
      <c r="Z161" s="630">
        <f t="shared" si="30"/>
        <v>295466.28999999998</v>
      </c>
    </row>
    <row r="162" spans="1:55">
      <c r="C162" s="637"/>
      <c r="E162" s="637"/>
      <c r="F162" s="640"/>
      <c r="G162" s="629" t="s">
        <v>1831</v>
      </c>
      <c r="H162" s="663"/>
      <c r="M162" s="630">
        <f t="shared" si="28"/>
        <v>0</v>
      </c>
      <c r="T162" s="630">
        <v>-450000</v>
      </c>
      <c r="U162" s="630">
        <f t="shared" si="29"/>
        <v>-450000</v>
      </c>
      <c r="W162" s="639"/>
      <c r="Z162" s="630">
        <f t="shared" si="30"/>
        <v>450000</v>
      </c>
    </row>
    <row r="163" spans="1:55">
      <c r="C163" s="637"/>
      <c r="E163" s="637"/>
      <c r="F163" s="640"/>
      <c r="G163" s="629" t="s">
        <v>1832</v>
      </c>
      <c r="H163" s="663"/>
      <c r="M163" s="630">
        <f t="shared" si="28"/>
        <v>0</v>
      </c>
      <c r="T163" s="630">
        <v>-211414.04</v>
      </c>
      <c r="U163" s="630">
        <f t="shared" si="29"/>
        <v>-211414.04</v>
      </c>
      <c r="W163" s="639"/>
      <c r="Z163" s="630">
        <f t="shared" si="30"/>
        <v>211414.04</v>
      </c>
    </row>
    <row r="164" spans="1:55" ht="6" customHeight="1">
      <c r="C164" s="637"/>
      <c r="E164" s="637"/>
      <c r="F164" s="640"/>
      <c r="W164" s="639"/>
      <c r="Z164" s="630">
        <f t="shared" si="30"/>
        <v>0</v>
      </c>
    </row>
    <row r="165" spans="1:55">
      <c r="B165" s="629" t="s">
        <v>1231</v>
      </c>
      <c r="C165" s="637"/>
      <c r="E165" s="637"/>
      <c r="G165" s="629" t="s">
        <v>3529</v>
      </c>
      <c r="H165" s="642">
        <f>SUM(H127:H164)</f>
        <v>-6769106.0799999991</v>
      </c>
      <c r="I165" s="668">
        <f t="shared" ref="I165:T165" si="31">SUM(I127:I164)</f>
        <v>0</v>
      </c>
      <c r="J165" s="668"/>
      <c r="K165" s="668"/>
      <c r="L165" s="668">
        <f t="shared" si="31"/>
        <v>0</v>
      </c>
      <c r="M165" s="642">
        <f t="shared" si="31"/>
        <v>-8331372.4399999995</v>
      </c>
      <c r="N165" s="642">
        <f t="shared" si="31"/>
        <v>20487526.839999996</v>
      </c>
      <c r="O165" s="642">
        <f t="shared" si="31"/>
        <v>0</v>
      </c>
      <c r="P165" s="642">
        <f t="shared" si="31"/>
        <v>136</v>
      </c>
      <c r="Q165" s="642">
        <f t="shared" si="31"/>
        <v>0</v>
      </c>
      <c r="R165" s="642">
        <f t="shared" si="31"/>
        <v>0</v>
      </c>
      <c r="S165" s="642">
        <f t="shared" si="31"/>
        <v>0</v>
      </c>
      <c r="T165" s="642">
        <f t="shared" si="31"/>
        <v>-25946246.829999998</v>
      </c>
      <c r="U165" s="642">
        <f>SUM(U127:U164)</f>
        <v>-13790092.429999996</v>
      </c>
      <c r="W165" s="639"/>
      <c r="Z165" s="630">
        <f t="shared" si="30"/>
        <v>13790092.429999996</v>
      </c>
    </row>
    <row r="166" spans="1:55" ht="6" customHeight="1">
      <c r="C166" s="637"/>
      <c r="E166" s="637"/>
      <c r="F166" s="640"/>
      <c r="W166" s="639"/>
      <c r="Z166" s="630">
        <f t="shared" si="30"/>
        <v>0</v>
      </c>
    </row>
    <row r="167" spans="1:55">
      <c r="B167" s="629" t="s">
        <v>1237</v>
      </c>
      <c r="C167" s="637"/>
      <c r="E167" s="637"/>
      <c r="G167" s="629" t="s">
        <v>3530</v>
      </c>
      <c r="H167" s="642">
        <f>H165+H125</f>
        <v>-13683233.589999998</v>
      </c>
      <c r="I167" s="668">
        <f t="shared" ref="I167:T167" si="32">I165+I125</f>
        <v>0</v>
      </c>
      <c r="J167" s="668"/>
      <c r="K167" s="668"/>
      <c r="L167" s="668">
        <f t="shared" si="32"/>
        <v>0</v>
      </c>
      <c r="M167" s="642">
        <f t="shared" si="32"/>
        <v>-15245499.949999999</v>
      </c>
      <c r="N167" s="642">
        <f t="shared" si="32"/>
        <v>35910413.029999994</v>
      </c>
      <c r="O167" s="642">
        <f t="shared" si="32"/>
        <v>0</v>
      </c>
      <c r="P167" s="642">
        <f t="shared" si="32"/>
        <v>175</v>
      </c>
      <c r="Q167" s="642">
        <f t="shared" si="32"/>
        <v>0</v>
      </c>
      <c r="R167" s="642">
        <f t="shared" si="32"/>
        <v>0</v>
      </c>
      <c r="S167" s="642">
        <f t="shared" si="32"/>
        <v>0</v>
      </c>
      <c r="T167" s="642">
        <f t="shared" si="32"/>
        <v>-40588321.140000001</v>
      </c>
      <c r="U167" s="642">
        <f>U165+U125</f>
        <v>-19923408.059999995</v>
      </c>
      <c r="W167" s="639"/>
      <c r="Z167" s="630">
        <f t="shared" si="30"/>
        <v>19923408.059999995</v>
      </c>
    </row>
    <row r="168" spans="1:55">
      <c r="C168" s="637"/>
      <c r="E168" s="637"/>
      <c r="F168" s="640"/>
      <c r="U168" s="630">
        <f t="shared" ref="U168:U173" si="33">+M168+N168+T168</f>
        <v>0</v>
      </c>
      <c r="W168" s="639"/>
      <c r="Z168" s="630">
        <f t="shared" si="30"/>
        <v>0</v>
      </c>
    </row>
    <row r="169" spans="1:55" s="674" customFormat="1">
      <c r="A169" s="674">
        <v>5</v>
      </c>
      <c r="B169" s="674" t="s">
        <v>3260</v>
      </c>
      <c r="C169" s="675" t="s">
        <v>1226</v>
      </c>
      <c r="D169" s="674">
        <v>800</v>
      </c>
      <c r="E169" s="675" t="s">
        <v>1226</v>
      </c>
      <c r="F169" s="674" t="s">
        <v>3420</v>
      </c>
      <c r="G169" s="674" t="s">
        <v>3531</v>
      </c>
      <c r="H169" s="667">
        <v>51927705.840000004</v>
      </c>
      <c r="I169" s="667">
        <v>0</v>
      </c>
      <c r="J169" s="667"/>
      <c r="K169" s="667"/>
      <c r="L169" s="667">
        <f>2717703.8-58231117.12+3585707.48</f>
        <v>-51927705.840000004</v>
      </c>
      <c r="M169" s="667">
        <f>H169+I169+L169</f>
        <v>0</v>
      </c>
      <c r="N169" s="667">
        <v>0</v>
      </c>
      <c r="O169" s="667" t="s">
        <v>1228</v>
      </c>
      <c r="P169" s="667">
        <v>6</v>
      </c>
      <c r="Q169" s="667" t="s">
        <v>3532</v>
      </c>
      <c r="R169" s="667"/>
      <c r="S169" s="667"/>
      <c r="T169" s="667">
        <v>0</v>
      </c>
      <c r="U169" s="667">
        <f t="shared" si="33"/>
        <v>0</v>
      </c>
      <c r="W169" s="676"/>
      <c r="X169" s="667"/>
      <c r="Y169" s="667"/>
      <c r="Z169" s="667">
        <f t="shared" si="30"/>
        <v>0</v>
      </c>
      <c r="AA169" s="630"/>
      <c r="AB169" s="630"/>
      <c r="AC169" s="630"/>
      <c r="AD169" s="630"/>
      <c r="AE169" s="630"/>
      <c r="AF169" s="630"/>
      <c r="AG169" s="630"/>
      <c r="AH169" s="630"/>
      <c r="AI169" s="667"/>
      <c r="AJ169" s="667"/>
      <c r="AK169" s="667"/>
      <c r="AL169" s="667"/>
      <c r="AM169" s="667"/>
      <c r="AN169" s="667"/>
      <c r="AO169" s="667"/>
      <c r="AP169" s="667"/>
      <c r="AQ169" s="667"/>
      <c r="AR169" s="667"/>
      <c r="AS169" s="667"/>
      <c r="AT169" s="667"/>
      <c r="AU169" s="667"/>
      <c r="AV169" s="667"/>
      <c r="AW169" s="667"/>
      <c r="AX169" s="667"/>
      <c r="AY169" s="667"/>
      <c r="AZ169" s="667"/>
      <c r="BA169" s="667"/>
      <c r="BB169" s="667"/>
      <c r="BC169" s="667"/>
    </row>
    <row r="170" spans="1:55" s="674" customFormat="1">
      <c r="A170" s="674">
        <v>5</v>
      </c>
      <c r="B170" s="674" t="s">
        <v>3260</v>
      </c>
      <c r="C170" s="675" t="s">
        <v>1226</v>
      </c>
      <c r="D170" s="674">
        <v>800</v>
      </c>
      <c r="E170" s="675" t="s">
        <v>1226</v>
      </c>
      <c r="F170" s="674" t="s">
        <v>3402</v>
      </c>
      <c r="G170" s="674" t="s">
        <v>3533</v>
      </c>
      <c r="H170" s="667">
        <v>2639648.5</v>
      </c>
      <c r="I170" s="667"/>
      <c r="J170" s="667"/>
      <c r="K170" s="667"/>
      <c r="L170" s="667">
        <v>-2639648.5</v>
      </c>
      <c r="M170" s="667">
        <f>H170+I170+L170</f>
        <v>0</v>
      </c>
      <c r="N170" s="667">
        <v>0</v>
      </c>
      <c r="O170" s="667" t="s">
        <v>1228</v>
      </c>
      <c r="P170" s="667">
        <v>6</v>
      </c>
      <c r="Q170" s="667" t="s">
        <v>3532</v>
      </c>
      <c r="R170" s="667">
        <f>H169+H170</f>
        <v>54567354.340000004</v>
      </c>
      <c r="S170" s="667"/>
      <c r="T170" s="667">
        <v>0</v>
      </c>
      <c r="U170" s="667">
        <f t="shared" si="33"/>
        <v>0</v>
      </c>
      <c r="W170" s="676"/>
      <c r="X170" s="667"/>
      <c r="Y170" s="667"/>
      <c r="Z170" s="667">
        <f t="shared" si="30"/>
        <v>0</v>
      </c>
      <c r="AA170" s="630"/>
      <c r="AB170" s="630"/>
      <c r="AC170" s="630"/>
      <c r="AD170" s="630"/>
      <c r="AE170" s="630"/>
      <c r="AF170" s="630"/>
      <c r="AG170" s="630"/>
      <c r="AH170" s="630"/>
      <c r="AI170" s="667"/>
      <c r="AJ170" s="667"/>
      <c r="AK170" s="667"/>
      <c r="AL170" s="667"/>
      <c r="AM170" s="667"/>
      <c r="AN170" s="667"/>
      <c r="AO170" s="667"/>
      <c r="AP170" s="667"/>
      <c r="AQ170" s="667"/>
      <c r="AR170" s="667"/>
      <c r="AS170" s="667"/>
      <c r="AT170" s="667"/>
      <c r="AU170" s="667"/>
      <c r="AV170" s="667"/>
      <c r="AW170" s="667"/>
      <c r="AX170" s="667"/>
      <c r="AY170" s="667"/>
      <c r="AZ170" s="667"/>
      <c r="BA170" s="667"/>
      <c r="BB170" s="667"/>
      <c r="BC170" s="667"/>
    </row>
    <row r="171" spans="1:55" s="674" customFormat="1">
      <c r="C171" s="675"/>
      <c r="D171" s="674">
        <v>800</v>
      </c>
      <c r="E171" s="675"/>
      <c r="F171" s="674">
        <v>8031</v>
      </c>
      <c r="G171" s="674" t="s">
        <v>2809</v>
      </c>
      <c r="H171" s="667">
        <v>0</v>
      </c>
      <c r="I171" s="667">
        <v>20757593.469999999</v>
      </c>
      <c r="J171" s="667"/>
      <c r="K171" s="667"/>
      <c r="L171" s="667"/>
      <c r="M171" s="667">
        <f>H171+I171+L171</f>
        <v>20757593.469999999</v>
      </c>
      <c r="N171" s="667">
        <f>24439364.91-20757593.47</f>
        <v>3681771.4400000013</v>
      </c>
      <c r="O171" s="667"/>
      <c r="P171" s="667"/>
      <c r="Q171" s="667"/>
      <c r="R171" s="667"/>
      <c r="S171" s="667"/>
      <c r="T171" s="667">
        <f>-2190277.53-248585.62</f>
        <v>-2438863.15</v>
      </c>
      <c r="U171" s="667">
        <f t="shared" si="33"/>
        <v>22000501.760000002</v>
      </c>
      <c r="W171" s="676"/>
      <c r="X171" s="667"/>
      <c r="Y171" s="667">
        <f>22249087.38-22000501.76</f>
        <v>248585.61999999732</v>
      </c>
      <c r="Z171" s="667">
        <f t="shared" si="30"/>
        <v>-21751916.140000004</v>
      </c>
      <c r="AA171" s="630"/>
      <c r="AB171" s="630"/>
      <c r="AC171" s="630"/>
      <c r="AD171" s="630"/>
      <c r="AE171" s="630"/>
      <c r="AF171" s="630"/>
      <c r="AG171" s="630"/>
      <c r="AH171" s="630"/>
      <c r="AI171" s="667"/>
      <c r="AJ171" s="667"/>
      <c r="AK171" s="667"/>
      <c r="AL171" s="667"/>
      <c r="AM171" s="667"/>
      <c r="AN171" s="667"/>
      <c r="AO171" s="667"/>
      <c r="AP171" s="667"/>
      <c r="AQ171" s="667"/>
      <c r="AR171" s="667"/>
      <c r="AS171" s="667"/>
      <c r="AT171" s="667"/>
      <c r="AU171" s="667"/>
      <c r="AV171" s="667"/>
      <c r="AW171" s="667"/>
      <c r="AX171" s="667"/>
      <c r="AY171" s="667"/>
      <c r="AZ171" s="667"/>
      <c r="BA171" s="667"/>
      <c r="BB171" s="667"/>
      <c r="BC171" s="667"/>
    </row>
    <row r="172" spans="1:55" s="674" customFormat="1">
      <c r="D172" s="674">
        <v>800</v>
      </c>
      <c r="F172" s="674">
        <v>8032</v>
      </c>
      <c r="G172" s="674" t="s">
        <v>3488</v>
      </c>
      <c r="H172" s="667">
        <v>0</v>
      </c>
      <c r="I172" s="667">
        <v>24099683.079999998</v>
      </c>
      <c r="J172" s="667"/>
      <c r="K172" s="667"/>
      <c r="L172" s="667"/>
      <c r="M172" s="667">
        <f>H172+I172+L172</f>
        <v>24099683.079999998</v>
      </c>
      <c r="N172" s="667">
        <f>7724625.97-25029683.08+102803423.02</f>
        <v>85498365.909999996</v>
      </c>
      <c r="O172" s="667"/>
      <c r="P172" s="667"/>
      <c r="Q172" s="667"/>
      <c r="R172" s="667"/>
      <c r="S172" s="667"/>
      <c r="T172" s="667">
        <v>-8493.8700000000008</v>
      </c>
      <c r="U172" s="667">
        <f t="shared" si="33"/>
        <v>109589555.11999999</v>
      </c>
      <c r="W172" s="676"/>
      <c r="X172" s="667">
        <f>109589555.12-U172</f>
        <v>0</v>
      </c>
      <c r="Y172" s="667">
        <f>110528048.99-7724625.97</f>
        <v>102803423.02</v>
      </c>
      <c r="Z172" s="667">
        <f t="shared" si="30"/>
        <v>-6786132.099999994</v>
      </c>
      <c r="AA172" s="630"/>
      <c r="AB172" s="630"/>
      <c r="AC172" s="630"/>
      <c r="AD172" s="630"/>
      <c r="AE172" s="630"/>
      <c r="AF172" s="630"/>
      <c r="AG172" s="630"/>
      <c r="AH172" s="630"/>
      <c r="AI172" s="667"/>
      <c r="AJ172" s="667"/>
      <c r="AK172" s="667"/>
      <c r="AL172" s="667"/>
      <c r="AM172" s="667"/>
      <c r="AN172" s="667"/>
      <c r="AO172" s="667"/>
      <c r="AP172" s="667"/>
      <c r="AQ172" s="667"/>
      <c r="AR172" s="667"/>
      <c r="AS172" s="667"/>
      <c r="AT172" s="667"/>
      <c r="AU172" s="667"/>
      <c r="AV172" s="667"/>
      <c r="AW172" s="667"/>
      <c r="AX172" s="667"/>
      <c r="AY172" s="667"/>
      <c r="AZ172" s="667"/>
      <c r="BA172" s="667"/>
      <c r="BB172" s="667"/>
      <c r="BC172" s="667"/>
    </row>
    <row r="173" spans="1:55" s="674" customFormat="1" ht="12" customHeight="1">
      <c r="C173" s="675"/>
      <c r="D173" s="674">
        <v>800</v>
      </c>
      <c r="E173" s="675"/>
      <c r="F173" s="674">
        <v>8033</v>
      </c>
      <c r="G173" s="674" t="s">
        <v>3489</v>
      </c>
      <c r="H173" s="667">
        <v>0</v>
      </c>
      <c r="I173" s="667">
        <v>8780077.8000000007</v>
      </c>
      <c r="J173" s="667"/>
      <c r="K173" s="667"/>
      <c r="L173" s="667"/>
      <c r="M173" s="667">
        <f>H173+I173+L173</f>
        <v>8780077.8000000007</v>
      </c>
      <c r="N173" s="667">
        <f>114638630.42-8780077.8</f>
        <v>105858552.62</v>
      </c>
      <c r="O173" s="667"/>
      <c r="P173" s="667"/>
      <c r="Q173" s="667"/>
      <c r="R173" s="667"/>
      <c r="S173" s="667"/>
      <c r="T173" s="667">
        <f>-102554837.4+8493.87</f>
        <v>-102546343.53</v>
      </c>
      <c r="U173" s="667">
        <f t="shared" si="33"/>
        <v>12092286.890000001</v>
      </c>
      <c r="W173" s="676"/>
      <c r="X173" s="667">
        <f>12092286.89-U173</f>
        <v>0</v>
      </c>
      <c r="Y173" s="667">
        <f>12083793.02-114638630.42</f>
        <v>-102554837.40000001</v>
      </c>
      <c r="Z173" s="667">
        <f t="shared" si="30"/>
        <v>-114647124.29000001</v>
      </c>
      <c r="AA173" s="630"/>
      <c r="AB173" s="630"/>
      <c r="AC173" s="630"/>
      <c r="AD173" s="630"/>
      <c r="AE173" s="630"/>
      <c r="AF173" s="630"/>
      <c r="AG173" s="630"/>
      <c r="AH173" s="630"/>
      <c r="AI173" s="667"/>
      <c r="AJ173" s="667"/>
      <c r="AK173" s="667"/>
      <c r="AL173" s="667"/>
      <c r="AM173" s="667"/>
      <c r="AN173" s="667"/>
      <c r="AO173" s="667"/>
      <c r="AP173" s="667"/>
      <c r="AQ173" s="667"/>
      <c r="AR173" s="667"/>
      <c r="AS173" s="667"/>
      <c r="AT173" s="667"/>
      <c r="AU173" s="667"/>
      <c r="AV173" s="667"/>
      <c r="AW173" s="667"/>
      <c r="AX173" s="667"/>
      <c r="AY173" s="667"/>
      <c r="AZ173" s="667"/>
      <c r="BA173" s="667"/>
      <c r="BB173" s="667"/>
      <c r="BC173" s="667"/>
    </row>
    <row r="174" spans="1:55" s="674" customFormat="1">
      <c r="B174" s="674" t="s">
        <v>1231</v>
      </c>
      <c r="C174" s="675"/>
      <c r="E174" s="675"/>
      <c r="G174" s="674" t="s">
        <v>3534</v>
      </c>
      <c r="H174" s="668">
        <f>SUM(H169:H173)</f>
        <v>54567354.340000004</v>
      </c>
      <c r="I174" s="668">
        <f t="shared" ref="I174:T174" si="34">SUM(I169:I173)</f>
        <v>53637354.349999994</v>
      </c>
      <c r="J174" s="668"/>
      <c r="K174" s="668"/>
      <c r="L174" s="668">
        <f t="shared" si="34"/>
        <v>-54567354.340000004</v>
      </c>
      <c r="M174" s="668">
        <f t="shared" si="34"/>
        <v>53637354.349999994</v>
      </c>
      <c r="N174" s="668">
        <f t="shared" si="34"/>
        <v>195038689.97</v>
      </c>
      <c r="O174" s="668">
        <f t="shared" si="34"/>
        <v>0</v>
      </c>
      <c r="P174" s="668">
        <f t="shared" si="34"/>
        <v>12</v>
      </c>
      <c r="Q174" s="668">
        <f t="shared" si="34"/>
        <v>0</v>
      </c>
      <c r="R174" s="668">
        <f t="shared" si="34"/>
        <v>54567354.340000004</v>
      </c>
      <c r="S174" s="668">
        <f t="shared" si="34"/>
        <v>0</v>
      </c>
      <c r="T174" s="668">
        <f t="shared" si="34"/>
        <v>-104993700.55</v>
      </c>
      <c r="U174" s="668">
        <f>SUM(U169:U173)</f>
        <v>143682343.76999998</v>
      </c>
      <c r="W174" s="676"/>
      <c r="X174" s="667"/>
      <c r="Y174" s="667">
        <v>144612343.68000001</v>
      </c>
      <c r="Z174" s="667">
        <f t="shared" si="30"/>
        <v>929999.91000002623</v>
      </c>
      <c r="AA174" s="630"/>
      <c r="AB174" s="630"/>
      <c r="AC174" s="630"/>
      <c r="AD174" s="630"/>
      <c r="AE174" s="630"/>
      <c r="AF174" s="630"/>
      <c r="AG174" s="630"/>
      <c r="AH174" s="630"/>
      <c r="AI174" s="667"/>
      <c r="AJ174" s="667"/>
      <c r="AK174" s="667"/>
      <c r="AL174" s="667"/>
      <c r="AM174" s="667"/>
      <c r="AN174" s="667"/>
      <c r="AO174" s="667"/>
      <c r="AP174" s="667"/>
      <c r="AQ174" s="667"/>
      <c r="AR174" s="667"/>
      <c r="AS174" s="667"/>
      <c r="AT174" s="667"/>
      <c r="AU174" s="667"/>
      <c r="AV174" s="667"/>
      <c r="AW174" s="667"/>
      <c r="AX174" s="667"/>
      <c r="AY174" s="667"/>
      <c r="AZ174" s="667"/>
      <c r="BA174" s="667"/>
      <c r="BB174" s="667"/>
      <c r="BC174" s="667"/>
    </row>
    <row r="175" spans="1:55" s="674" customFormat="1" ht="6" customHeight="1">
      <c r="C175" s="675"/>
      <c r="E175" s="675"/>
      <c r="H175" s="667"/>
      <c r="I175" s="667"/>
      <c r="J175" s="667"/>
      <c r="K175" s="667"/>
      <c r="L175" s="667"/>
      <c r="M175" s="667"/>
      <c r="N175" s="667"/>
      <c r="O175" s="667"/>
      <c r="P175" s="667"/>
      <c r="Q175" s="667"/>
      <c r="R175" s="667"/>
      <c r="S175" s="667"/>
      <c r="T175" s="667"/>
      <c r="U175" s="667"/>
      <c r="W175" s="676"/>
      <c r="X175" s="667"/>
      <c r="Y175" s="667"/>
      <c r="Z175" s="667">
        <f t="shared" si="30"/>
        <v>0</v>
      </c>
      <c r="AA175" s="630"/>
      <c r="AB175" s="630"/>
      <c r="AC175" s="630"/>
      <c r="AD175" s="630"/>
      <c r="AE175" s="630"/>
      <c r="AF175" s="630"/>
      <c r="AG175" s="630"/>
      <c r="AH175" s="630"/>
      <c r="AI175" s="667"/>
      <c r="AJ175" s="667"/>
      <c r="AK175" s="667"/>
      <c r="AL175" s="667"/>
      <c r="AM175" s="667"/>
      <c r="AN175" s="667"/>
      <c r="AO175" s="667"/>
      <c r="AP175" s="667"/>
      <c r="AQ175" s="667"/>
      <c r="AR175" s="667"/>
      <c r="AS175" s="667"/>
      <c r="AT175" s="667"/>
      <c r="AU175" s="667"/>
      <c r="AV175" s="667"/>
      <c r="AW175" s="667"/>
      <c r="AX175" s="667"/>
      <c r="AY175" s="667"/>
      <c r="AZ175" s="667"/>
      <c r="BA175" s="667"/>
      <c r="BB175" s="667"/>
      <c r="BC175" s="667"/>
    </row>
    <row r="176" spans="1:55" s="674" customFormat="1">
      <c r="B176" s="674" t="s">
        <v>1237</v>
      </c>
      <c r="C176" s="675"/>
      <c r="E176" s="675"/>
      <c r="G176" s="674" t="s">
        <v>3535</v>
      </c>
      <c r="H176" s="673">
        <f>H174</f>
        <v>54567354.340000004</v>
      </c>
      <c r="I176" s="668">
        <f t="shared" ref="I176:T176" si="35">I174</f>
        <v>53637354.349999994</v>
      </c>
      <c r="J176" s="668"/>
      <c r="K176" s="668"/>
      <c r="L176" s="668">
        <f t="shared" si="35"/>
        <v>-54567354.340000004</v>
      </c>
      <c r="M176" s="668">
        <f t="shared" si="35"/>
        <v>53637354.349999994</v>
      </c>
      <c r="N176" s="668">
        <f t="shared" si="35"/>
        <v>195038689.97</v>
      </c>
      <c r="O176" s="668">
        <f t="shared" si="35"/>
        <v>0</v>
      </c>
      <c r="P176" s="668">
        <f t="shared" si="35"/>
        <v>12</v>
      </c>
      <c r="Q176" s="668">
        <f t="shared" si="35"/>
        <v>0</v>
      </c>
      <c r="R176" s="668">
        <f t="shared" si="35"/>
        <v>54567354.340000004</v>
      </c>
      <c r="S176" s="668">
        <f t="shared" si="35"/>
        <v>0</v>
      </c>
      <c r="T176" s="668">
        <f t="shared" si="35"/>
        <v>-104993700.55</v>
      </c>
      <c r="U176" s="668">
        <f>U174</f>
        <v>143682343.76999998</v>
      </c>
      <c r="W176" s="676"/>
      <c r="X176" s="667"/>
      <c r="Y176" s="667">
        <f>N174+T174</f>
        <v>90044989.420000002</v>
      </c>
      <c r="Z176" s="667">
        <f t="shared" si="30"/>
        <v>-53637354.349999979</v>
      </c>
      <c r="AA176" s="630"/>
      <c r="AB176" s="630"/>
      <c r="AC176" s="630"/>
      <c r="AD176" s="630"/>
      <c r="AE176" s="630"/>
      <c r="AF176" s="630"/>
      <c r="AG176" s="630"/>
      <c r="AH176" s="630"/>
      <c r="AI176" s="667"/>
      <c r="AJ176" s="667"/>
      <c r="AK176" s="667"/>
      <c r="AL176" s="667"/>
      <c r="AM176" s="667"/>
      <c r="AN176" s="667"/>
      <c r="AO176" s="667"/>
      <c r="AP176" s="667"/>
      <c r="AQ176" s="667"/>
      <c r="AR176" s="667"/>
      <c r="AS176" s="667"/>
      <c r="AT176" s="667"/>
      <c r="AU176" s="667"/>
      <c r="AV176" s="667"/>
      <c r="AW176" s="667"/>
      <c r="AX176" s="667"/>
      <c r="AY176" s="667"/>
      <c r="AZ176" s="667"/>
      <c r="BA176" s="667"/>
      <c r="BB176" s="667"/>
      <c r="BC176" s="667"/>
    </row>
    <row r="177" spans="1:26">
      <c r="C177" s="637"/>
      <c r="E177" s="637"/>
      <c r="W177" s="639"/>
      <c r="Z177" s="630">
        <f t="shared" si="30"/>
        <v>0</v>
      </c>
    </row>
    <row r="178" spans="1:26">
      <c r="A178" s="629">
        <v>5</v>
      </c>
      <c r="B178" s="629" t="s">
        <v>3408</v>
      </c>
      <c r="C178" s="637" t="s">
        <v>1226</v>
      </c>
      <c r="D178" s="629" t="s">
        <v>3408</v>
      </c>
      <c r="E178" s="637" t="s">
        <v>1226</v>
      </c>
      <c r="F178" s="629" t="s">
        <v>3536</v>
      </c>
      <c r="G178" s="629" t="s">
        <v>3537</v>
      </c>
      <c r="H178" s="630">
        <v>-35744741.100000001</v>
      </c>
      <c r="I178" s="667">
        <v>34878731.520000003</v>
      </c>
      <c r="L178" s="667">
        <v>866009.58</v>
      </c>
      <c r="M178" s="630">
        <f t="shared" ref="M178:M183" si="36">H178+I178+L178</f>
        <v>1.7462298274040222E-9</v>
      </c>
      <c r="N178" s="647">
        <v>0</v>
      </c>
      <c r="O178" s="630" t="s">
        <v>1228</v>
      </c>
      <c r="P178" s="630">
        <v>6</v>
      </c>
      <c r="Q178" s="630" t="s">
        <v>3538</v>
      </c>
      <c r="T178" s="630">
        <v>0</v>
      </c>
      <c r="U178" s="630">
        <f t="shared" ref="U178:U183" si="37">+M178+N178+T178</f>
        <v>1.7462298274040222E-9</v>
      </c>
      <c r="W178" s="639"/>
      <c r="Z178" s="630">
        <f t="shared" si="30"/>
        <v>-1.7462298274040222E-9</v>
      </c>
    </row>
    <row r="179" spans="1:26">
      <c r="A179" s="629">
        <v>5</v>
      </c>
      <c r="B179" s="629" t="s">
        <v>3408</v>
      </c>
      <c r="C179" s="637" t="s">
        <v>1226</v>
      </c>
      <c r="D179" s="629" t="s">
        <v>3408</v>
      </c>
      <c r="E179" s="637" t="s">
        <v>1226</v>
      </c>
      <c r="F179" s="629" t="s">
        <v>3539</v>
      </c>
      <c r="G179" s="629" t="s">
        <v>3540</v>
      </c>
      <c r="H179" s="630">
        <v>9734256.1300000008</v>
      </c>
      <c r="I179" s="667">
        <v>-13172355.439999999</v>
      </c>
      <c r="L179" s="667">
        <v>3438099.31</v>
      </c>
      <c r="M179" s="630">
        <f t="shared" si="36"/>
        <v>0</v>
      </c>
      <c r="N179" s="647">
        <v>0</v>
      </c>
      <c r="O179" s="630" t="s">
        <v>1228</v>
      </c>
      <c r="P179" s="630">
        <v>6</v>
      </c>
      <c r="Q179" s="630" t="s">
        <v>3538</v>
      </c>
      <c r="T179" s="630">
        <v>0</v>
      </c>
      <c r="U179" s="630">
        <f t="shared" si="37"/>
        <v>0</v>
      </c>
      <c r="W179" s="639"/>
      <c r="Z179" s="630">
        <f t="shared" si="30"/>
        <v>0</v>
      </c>
    </row>
    <row r="180" spans="1:26">
      <c r="A180" s="629">
        <v>5</v>
      </c>
      <c r="B180" s="629" t="s">
        <v>3408</v>
      </c>
      <c r="C180" s="637" t="s">
        <v>1226</v>
      </c>
      <c r="D180" s="629" t="s">
        <v>3408</v>
      </c>
      <c r="E180" s="637" t="s">
        <v>1226</v>
      </c>
      <c r="F180" s="629" t="s">
        <v>3541</v>
      </c>
      <c r="G180" s="629" t="s">
        <v>3542</v>
      </c>
      <c r="H180" s="630">
        <v>-5070802.7699999996</v>
      </c>
      <c r="I180" s="667">
        <v>8100031.5499999998</v>
      </c>
      <c r="L180" s="667">
        <v>-3029228.78</v>
      </c>
      <c r="M180" s="630">
        <f t="shared" si="36"/>
        <v>0</v>
      </c>
      <c r="N180" s="647">
        <v>0</v>
      </c>
      <c r="O180" s="630" t="s">
        <v>1228</v>
      </c>
      <c r="P180" s="630">
        <v>6</v>
      </c>
      <c r="Q180" s="630" t="s">
        <v>3538</v>
      </c>
      <c r="R180" s="630">
        <f>N180-H180</f>
        <v>5070802.7699999996</v>
      </c>
      <c r="T180" s="630">
        <v>0</v>
      </c>
      <c r="U180" s="630">
        <f t="shared" si="37"/>
        <v>0</v>
      </c>
      <c r="W180" s="639"/>
      <c r="Z180" s="630">
        <f t="shared" si="30"/>
        <v>0</v>
      </c>
    </row>
    <row r="181" spans="1:26">
      <c r="A181" s="629">
        <v>5</v>
      </c>
      <c r="B181" s="629" t="s">
        <v>3408</v>
      </c>
      <c r="C181" s="637" t="s">
        <v>1226</v>
      </c>
      <c r="D181" s="629" t="s">
        <v>3408</v>
      </c>
      <c r="E181" s="637" t="s">
        <v>1226</v>
      </c>
      <c r="F181" s="629" t="s">
        <v>3543</v>
      </c>
      <c r="G181" s="629" t="s">
        <v>3542</v>
      </c>
      <c r="H181" s="630">
        <v>-6834125.1399999997</v>
      </c>
      <c r="I181" s="667">
        <v>6845325.1399999997</v>
      </c>
      <c r="K181" s="667">
        <v>0</v>
      </c>
      <c r="L181" s="667">
        <v>-11200</v>
      </c>
      <c r="M181" s="630">
        <f>SUM(H181:L181)</f>
        <v>0</v>
      </c>
      <c r="N181" s="647">
        <v>0</v>
      </c>
      <c r="O181" s="630" t="s">
        <v>1228</v>
      </c>
      <c r="P181" s="630">
        <v>6</v>
      </c>
      <c r="Q181" s="630" t="s">
        <v>3538</v>
      </c>
      <c r="T181" s="630">
        <v>0</v>
      </c>
      <c r="U181" s="630">
        <f t="shared" si="37"/>
        <v>0</v>
      </c>
      <c r="W181" s="639"/>
      <c r="Z181" s="630">
        <f t="shared" si="30"/>
        <v>0</v>
      </c>
    </row>
    <row r="182" spans="1:26">
      <c r="A182" s="629">
        <v>5</v>
      </c>
      <c r="B182" s="629" t="s">
        <v>3408</v>
      </c>
      <c r="C182" s="637" t="s">
        <v>1226</v>
      </c>
      <c r="D182" s="629" t="s">
        <v>3408</v>
      </c>
      <c r="E182" s="637" t="s">
        <v>1226</v>
      </c>
      <c r="F182" s="629" t="s">
        <v>3544</v>
      </c>
      <c r="G182" s="629" t="s">
        <v>3545</v>
      </c>
      <c r="H182" s="630">
        <v>-2578251.66</v>
      </c>
      <c r="I182" s="667">
        <v>2510472.96</v>
      </c>
      <c r="L182" s="667">
        <v>67778.7</v>
      </c>
      <c r="M182" s="630">
        <f t="shared" si="36"/>
        <v>-1.8917489796876907E-10</v>
      </c>
      <c r="N182" s="647">
        <v>0</v>
      </c>
      <c r="O182" s="630" t="s">
        <v>1228</v>
      </c>
      <c r="P182" s="630">
        <v>6</v>
      </c>
      <c r="Q182" s="630" t="s">
        <v>3538</v>
      </c>
      <c r="R182" s="630">
        <f>N182-H182</f>
        <v>2578251.66</v>
      </c>
      <c r="T182" s="630">
        <v>0</v>
      </c>
      <c r="U182" s="630">
        <f t="shared" si="37"/>
        <v>-1.8917489796876907E-10</v>
      </c>
      <c r="W182" s="639"/>
      <c r="Z182" s="630">
        <f t="shared" si="30"/>
        <v>1.8917489796876907E-10</v>
      </c>
    </row>
    <row r="183" spans="1:26">
      <c r="A183" s="629">
        <v>5</v>
      </c>
      <c r="B183" s="629" t="s">
        <v>3408</v>
      </c>
      <c r="C183" s="637" t="s">
        <v>1226</v>
      </c>
      <c r="D183" s="629" t="s">
        <v>3408</v>
      </c>
      <c r="E183" s="637" t="s">
        <v>1226</v>
      </c>
      <c r="F183" s="629" t="s">
        <v>3406</v>
      </c>
      <c r="G183" s="629" t="s">
        <v>3546</v>
      </c>
      <c r="H183" s="630">
        <v>-4888295.05</v>
      </c>
      <c r="I183" s="667">
        <v>3567477.28</v>
      </c>
      <c r="L183" s="667">
        <v>1320817.77</v>
      </c>
      <c r="M183" s="630">
        <f t="shared" si="36"/>
        <v>0</v>
      </c>
      <c r="N183" s="647">
        <v>0</v>
      </c>
      <c r="O183" s="630" t="s">
        <v>1228</v>
      </c>
      <c r="P183" s="630">
        <v>6</v>
      </c>
      <c r="Q183" s="630" t="s">
        <v>3538</v>
      </c>
      <c r="R183" s="630">
        <f>N183-H183</f>
        <v>4888295.05</v>
      </c>
      <c r="S183" s="630">
        <f>SUM(H178:H183)</f>
        <v>-45381959.589999989</v>
      </c>
      <c r="T183" s="630">
        <v>0</v>
      </c>
      <c r="U183" s="630">
        <f t="shared" si="37"/>
        <v>0</v>
      </c>
      <c r="W183" s="639"/>
      <c r="Z183" s="630">
        <f t="shared" si="30"/>
        <v>0</v>
      </c>
    </row>
    <row r="184" spans="1:26" ht="6" customHeight="1">
      <c r="C184" s="637"/>
      <c r="E184" s="637"/>
      <c r="W184" s="639"/>
      <c r="Z184" s="630">
        <f t="shared" si="30"/>
        <v>0</v>
      </c>
    </row>
    <row r="185" spans="1:26">
      <c r="B185" s="629" t="s">
        <v>1231</v>
      </c>
      <c r="C185" s="637"/>
      <c r="E185" s="637"/>
      <c r="G185" s="629" t="s">
        <v>3547</v>
      </c>
      <c r="H185" s="664">
        <f>SUM(H178:H184)</f>
        <v>-45381959.589999989</v>
      </c>
      <c r="I185" s="668">
        <f t="shared" ref="I185:T185" si="38">SUM(I178:I184)</f>
        <v>42729683.010000005</v>
      </c>
      <c r="J185" s="668"/>
      <c r="K185" s="668"/>
      <c r="L185" s="668">
        <f t="shared" si="38"/>
        <v>2652276.58</v>
      </c>
      <c r="M185" s="642">
        <f t="shared" si="38"/>
        <v>1.5570549294352531E-9</v>
      </c>
      <c r="N185" s="642">
        <f t="shared" si="38"/>
        <v>0</v>
      </c>
      <c r="O185" s="642">
        <f t="shared" si="38"/>
        <v>0</v>
      </c>
      <c r="P185" s="642">
        <f t="shared" si="38"/>
        <v>36</v>
      </c>
      <c r="Q185" s="642">
        <f t="shared" si="38"/>
        <v>0</v>
      </c>
      <c r="R185" s="642">
        <f t="shared" si="38"/>
        <v>12537349.48</v>
      </c>
      <c r="S185" s="642">
        <f t="shared" si="38"/>
        <v>-45381959.589999989</v>
      </c>
      <c r="T185" s="642">
        <f t="shared" si="38"/>
        <v>0</v>
      </c>
      <c r="U185" s="642">
        <f>SUM(U178:U184)</f>
        <v>1.5570549294352531E-9</v>
      </c>
      <c r="W185" s="639"/>
      <c r="Z185" s="630">
        <f t="shared" si="30"/>
        <v>-1.5570549294352531E-9</v>
      </c>
    </row>
    <row r="186" spans="1:26">
      <c r="C186" s="637"/>
      <c r="E186" s="637"/>
      <c r="R186" s="630">
        <f>N176+N185</f>
        <v>195038689.97</v>
      </c>
      <c r="W186" s="639"/>
      <c r="Z186" s="630">
        <f t="shared" si="30"/>
        <v>0</v>
      </c>
    </row>
    <row r="187" spans="1:26">
      <c r="A187" s="629">
        <v>5</v>
      </c>
      <c r="B187" s="629" t="s">
        <v>2287</v>
      </c>
      <c r="C187" s="637" t="s">
        <v>1226</v>
      </c>
      <c r="D187" s="629" t="s">
        <v>2287</v>
      </c>
      <c r="E187" s="637" t="s">
        <v>1226</v>
      </c>
      <c r="F187" s="629" t="s">
        <v>2288</v>
      </c>
      <c r="G187" s="629" t="s">
        <v>2289</v>
      </c>
      <c r="H187" s="630">
        <v>87947.05</v>
      </c>
      <c r="M187" s="663">
        <f>H187+I187+L187</f>
        <v>87947.05</v>
      </c>
      <c r="N187" s="630">
        <v>0</v>
      </c>
      <c r="O187" s="630" t="s">
        <v>1228</v>
      </c>
      <c r="P187" s="630">
        <v>7</v>
      </c>
      <c r="Q187" s="630" t="s">
        <v>2290</v>
      </c>
      <c r="T187" s="630">
        <v>-87947.05</v>
      </c>
      <c r="U187" s="630">
        <f>+M187+N187+T187</f>
        <v>0</v>
      </c>
      <c r="W187" s="639"/>
      <c r="Z187" s="630">
        <f t="shared" si="30"/>
        <v>0</v>
      </c>
    </row>
    <row r="188" spans="1:26">
      <c r="A188" s="629">
        <v>5</v>
      </c>
      <c r="B188" s="629" t="s">
        <v>2287</v>
      </c>
      <c r="C188" s="637" t="s">
        <v>1226</v>
      </c>
      <c r="D188" s="629" t="s">
        <v>2287</v>
      </c>
      <c r="E188" s="637" t="s">
        <v>1226</v>
      </c>
      <c r="F188" s="629" t="s">
        <v>3410</v>
      </c>
      <c r="G188" s="629" t="s">
        <v>3418</v>
      </c>
      <c r="H188" s="630">
        <v>0</v>
      </c>
      <c r="M188" s="630">
        <f>H188+I188+L188</f>
        <v>0</v>
      </c>
      <c r="N188" s="630">
        <v>0</v>
      </c>
      <c r="O188" s="630" t="s">
        <v>1228</v>
      </c>
      <c r="P188" s="630">
        <v>7</v>
      </c>
      <c r="Q188" s="630" t="s">
        <v>2290</v>
      </c>
      <c r="U188" s="630">
        <f>+M188+N188+T188</f>
        <v>0</v>
      </c>
      <c r="W188" s="639"/>
      <c r="Z188" s="630">
        <f t="shared" si="30"/>
        <v>0</v>
      </c>
    </row>
    <row r="189" spans="1:26">
      <c r="A189" s="629">
        <v>5</v>
      </c>
      <c r="B189" s="629" t="s">
        <v>2287</v>
      </c>
      <c r="C189" s="637" t="s">
        <v>1226</v>
      </c>
      <c r="D189" s="629" t="s">
        <v>2287</v>
      </c>
      <c r="E189" s="637" t="s">
        <v>1226</v>
      </c>
      <c r="F189" s="629" t="s">
        <v>3412</v>
      </c>
      <c r="G189" s="629" t="s">
        <v>2291</v>
      </c>
      <c r="H189" s="630">
        <v>100</v>
      </c>
      <c r="L189" s="667">
        <v>2101697</v>
      </c>
      <c r="M189" s="663">
        <f>H189+I189+L189</f>
        <v>2101797</v>
      </c>
      <c r="N189" s="630">
        <f>2231749.7-199736.7</f>
        <v>2032013.0000000002</v>
      </c>
      <c r="O189" s="630" t="s">
        <v>1228</v>
      </c>
      <c r="P189" s="630">
        <v>7</v>
      </c>
      <c r="Q189" s="630" t="s">
        <v>2290</v>
      </c>
      <c r="T189" s="630">
        <v>0</v>
      </c>
      <c r="U189" s="630">
        <f>+M189+N189+T189</f>
        <v>4133810</v>
      </c>
      <c r="W189" s="639"/>
      <c r="Z189" s="630">
        <f t="shared" si="30"/>
        <v>-4133810</v>
      </c>
    </row>
    <row r="190" spans="1:26" ht="6" customHeight="1">
      <c r="C190" s="637"/>
      <c r="E190" s="637"/>
      <c r="W190" s="639"/>
      <c r="Z190" s="630">
        <f t="shared" si="30"/>
        <v>0</v>
      </c>
    </row>
    <row r="191" spans="1:26">
      <c r="B191" s="629" t="s">
        <v>1231</v>
      </c>
      <c r="C191" s="637"/>
      <c r="E191" s="637"/>
      <c r="G191" s="629" t="s">
        <v>2292</v>
      </c>
      <c r="H191" s="642">
        <f>SUM(H187:H190)</f>
        <v>88047.05</v>
      </c>
      <c r="I191" s="668">
        <f t="shared" ref="I191:T191" si="39">SUM(I187:I190)</f>
        <v>0</v>
      </c>
      <c r="J191" s="668"/>
      <c r="K191" s="668"/>
      <c r="L191" s="668">
        <f t="shared" si="39"/>
        <v>2101697</v>
      </c>
      <c r="M191" s="642">
        <f t="shared" si="39"/>
        <v>2189744.0499999998</v>
      </c>
      <c r="N191" s="642">
        <f t="shared" si="39"/>
        <v>2032013.0000000002</v>
      </c>
      <c r="O191" s="642">
        <f t="shared" si="39"/>
        <v>0</v>
      </c>
      <c r="P191" s="642">
        <f t="shared" si="39"/>
        <v>21</v>
      </c>
      <c r="Q191" s="642">
        <f t="shared" si="39"/>
        <v>0</v>
      </c>
      <c r="R191" s="642">
        <f t="shared" si="39"/>
        <v>0</v>
      </c>
      <c r="S191" s="642">
        <f t="shared" si="39"/>
        <v>0</v>
      </c>
      <c r="T191" s="642">
        <f t="shared" si="39"/>
        <v>-87947.05</v>
      </c>
      <c r="U191" s="642">
        <f>SUM(U187:U190)</f>
        <v>4133810</v>
      </c>
      <c r="W191" s="639"/>
      <c r="Z191" s="630">
        <f t="shared" si="30"/>
        <v>-4133810</v>
      </c>
    </row>
    <row r="192" spans="1:26" ht="6" customHeight="1">
      <c r="C192" s="637"/>
      <c r="E192" s="637"/>
      <c r="W192" s="639"/>
      <c r="Z192" s="630">
        <f t="shared" si="30"/>
        <v>0</v>
      </c>
    </row>
    <row r="193" spans="1:55">
      <c r="B193" s="629" t="s">
        <v>1237</v>
      </c>
      <c r="C193" s="637"/>
      <c r="E193" s="637"/>
      <c r="G193" s="629" t="s">
        <v>3434</v>
      </c>
      <c r="H193" s="642">
        <f>H191</f>
        <v>88047.05</v>
      </c>
      <c r="I193" s="668">
        <f t="shared" ref="I193:T193" si="40">I191</f>
        <v>0</v>
      </c>
      <c r="J193" s="668"/>
      <c r="K193" s="668"/>
      <c r="L193" s="668">
        <f t="shared" si="40"/>
        <v>2101697</v>
      </c>
      <c r="M193" s="642">
        <f t="shared" si="40"/>
        <v>2189744.0499999998</v>
      </c>
      <c r="N193" s="642">
        <f t="shared" si="40"/>
        <v>2032013.0000000002</v>
      </c>
      <c r="O193" s="642">
        <f t="shared" si="40"/>
        <v>0</v>
      </c>
      <c r="P193" s="642">
        <f t="shared" si="40"/>
        <v>21</v>
      </c>
      <c r="Q193" s="642">
        <f t="shared" si="40"/>
        <v>0</v>
      </c>
      <c r="R193" s="642">
        <f t="shared" si="40"/>
        <v>0</v>
      </c>
      <c r="S193" s="642">
        <f t="shared" si="40"/>
        <v>0</v>
      </c>
      <c r="T193" s="642">
        <f t="shared" si="40"/>
        <v>-87947.05</v>
      </c>
      <c r="U193" s="642">
        <f>U191</f>
        <v>4133810</v>
      </c>
      <c r="W193" s="639"/>
      <c r="Z193" s="630">
        <f t="shared" si="30"/>
        <v>-4133810</v>
      </c>
    </row>
    <row r="194" spans="1:55">
      <c r="C194" s="637"/>
      <c r="E194" s="637"/>
      <c r="W194" s="639"/>
      <c r="Z194" s="630">
        <f t="shared" si="30"/>
        <v>0</v>
      </c>
    </row>
    <row r="195" spans="1:55" s="674" customFormat="1">
      <c r="A195" s="674">
        <v>5</v>
      </c>
      <c r="B195" s="674" t="s">
        <v>1176</v>
      </c>
      <c r="C195" s="675" t="s">
        <v>1226</v>
      </c>
      <c r="D195" s="674" t="s">
        <v>1176</v>
      </c>
      <c r="E195" s="675" t="s">
        <v>1226</v>
      </c>
      <c r="F195" s="674" t="s">
        <v>2293</v>
      </c>
      <c r="G195" s="674" t="s">
        <v>2294</v>
      </c>
      <c r="H195" s="667">
        <v>387498.98</v>
      </c>
      <c r="I195" s="667"/>
      <c r="J195" s="667"/>
      <c r="K195" s="667"/>
      <c r="L195" s="667"/>
      <c r="M195" s="672">
        <f>H195+I195+L195</f>
        <v>387498.98</v>
      </c>
      <c r="N195" s="667">
        <v>122689389.23</v>
      </c>
      <c r="O195" s="667" t="s">
        <v>1228</v>
      </c>
      <c r="P195" s="667">
        <v>8</v>
      </c>
      <c r="Q195" s="667" t="s">
        <v>2295</v>
      </c>
      <c r="R195" s="667"/>
      <c r="S195" s="667"/>
      <c r="T195" s="667">
        <v>-120852997.36</v>
      </c>
      <c r="U195" s="667">
        <f>+M195+N195+T195</f>
        <v>2223890.8500000089</v>
      </c>
      <c r="W195" s="676"/>
      <c r="X195" s="667"/>
      <c r="Y195" s="667"/>
      <c r="Z195" s="667">
        <f t="shared" si="30"/>
        <v>-2223890.8500000089</v>
      </c>
      <c r="AA195" s="630"/>
      <c r="AB195" s="630"/>
      <c r="AC195" s="630"/>
      <c r="AD195" s="630"/>
      <c r="AE195" s="630"/>
      <c r="AF195" s="630"/>
      <c r="AG195" s="630"/>
      <c r="AH195" s="630"/>
      <c r="AI195" s="667"/>
      <c r="AJ195" s="667"/>
      <c r="AK195" s="667"/>
      <c r="AL195" s="667"/>
      <c r="AM195" s="667"/>
      <c r="AN195" s="667"/>
      <c r="AO195" s="667"/>
      <c r="AP195" s="667"/>
      <c r="AQ195" s="667"/>
      <c r="AR195" s="667"/>
      <c r="AS195" s="667"/>
      <c r="AT195" s="667"/>
      <c r="AU195" s="667"/>
      <c r="AV195" s="667"/>
      <c r="AW195" s="667"/>
      <c r="AX195" s="667"/>
      <c r="AY195" s="667"/>
      <c r="AZ195" s="667"/>
      <c r="BA195" s="667"/>
      <c r="BB195" s="667"/>
      <c r="BC195" s="667"/>
    </row>
    <row r="196" spans="1:55" s="674" customFormat="1" ht="6" customHeight="1">
      <c r="C196" s="675"/>
      <c r="E196" s="675"/>
      <c r="H196" s="667"/>
      <c r="I196" s="667"/>
      <c r="J196" s="667"/>
      <c r="K196" s="667"/>
      <c r="L196" s="667"/>
      <c r="M196" s="667"/>
      <c r="N196" s="667"/>
      <c r="O196" s="667"/>
      <c r="P196" s="667"/>
      <c r="Q196" s="667"/>
      <c r="R196" s="667"/>
      <c r="S196" s="667"/>
      <c r="T196" s="667"/>
      <c r="U196" s="667"/>
      <c r="W196" s="676"/>
      <c r="X196" s="667"/>
      <c r="Y196" s="667"/>
      <c r="Z196" s="667">
        <f t="shared" si="30"/>
        <v>0</v>
      </c>
      <c r="AA196" s="630"/>
      <c r="AB196" s="630"/>
      <c r="AC196" s="630"/>
      <c r="AD196" s="630"/>
      <c r="AE196" s="630"/>
      <c r="AF196" s="630"/>
      <c r="AG196" s="630"/>
      <c r="AH196" s="630"/>
      <c r="AI196" s="667"/>
      <c r="AJ196" s="667"/>
      <c r="AK196" s="667"/>
      <c r="AL196" s="667"/>
      <c r="AM196" s="667"/>
      <c r="AN196" s="667"/>
      <c r="AO196" s="667"/>
      <c r="AP196" s="667"/>
      <c r="AQ196" s="667"/>
      <c r="AR196" s="667"/>
      <c r="AS196" s="667"/>
      <c r="AT196" s="667"/>
      <c r="AU196" s="667"/>
      <c r="AV196" s="667"/>
      <c r="AW196" s="667"/>
      <c r="AX196" s="667"/>
      <c r="AY196" s="667"/>
      <c r="AZ196" s="667"/>
      <c r="BA196" s="667"/>
      <c r="BB196" s="667"/>
      <c r="BC196" s="667"/>
    </row>
    <row r="197" spans="1:55" s="674" customFormat="1">
      <c r="B197" s="674" t="s">
        <v>1231</v>
      </c>
      <c r="C197" s="675"/>
      <c r="E197" s="675"/>
      <c r="G197" s="674" t="s">
        <v>2296</v>
      </c>
      <c r="H197" s="668">
        <f>H195</f>
        <v>387498.98</v>
      </c>
      <c r="I197" s="668">
        <f t="shared" ref="I197:T197" si="41">I195</f>
        <v>0</v>
      </c>
      <c r="J197" s="668"/>
      <c r="K197" s="668"/>
      <c r="L197" s="668">
        <f t="shared" si="41"/>
        <v>0</v>
      </c>
      <c r="M197" s="668">
        <f t="shared" si="41"/>
        <v>387498.98</v>
      </c>
      <c r="N197" s="668">
        <f t="shared" si="41"/>
        <v>122689389.23</v>
      </c>
      <c r="O197" s="668" t="str">
        <f t="shared" si="41"/>
        <v>D</v>
      </c>
      <c r="P197" s="668">
        <f t="shared" si="41"/>
        <v>8</v>
      </c>
      <c r="Q197" s="668" t="str">
        <f t="shared" si="41"/>
        <v>stock</v>
      </c>
      <c r="R197" s="668">
        <f t="shared" si="41"/>
        <v>0</v>
      </c>
      <c r="S197" s="668">
        <f t="shared" si="41"/>
        <v>0</v>
      </c>
      <c r="T197" s="668">
        <f t="shared" si="41"/>
        <v>-120852997.36</v>
      </c>
      <c r="U197" s="668">
        <f>U195</f>
        <v>2223890.8500000089</v>
      </c>
      <c r="W197" s="676"/>
      <c r="X197" s="667"/>
      <c r="Y197" s="667"/>
      <c r="Z197" s="667">
        <f t="shared" si="30"/>
        <v>-2223890.8500000089</v>
      </c>
      <c r="AA197" s="630"/>
      <c r="AB197" s="630"/>
      <c r="AC197" s="630"/>
      <c r="AD197" s="630"/>
      <c r="AE197" s="630"/>
      <c r="AF197" s="630"/>
      <c r="AG197" s="630"/>
      <c r="AH197" s="630"/>
      <c r="AI197" s="667"/>
      <c r="AJ197" s="667"/>
      <c r="AK197" s="667"/>
      <c r="AL197" s="667"/>
      <c r="AM197" s="667"/>
      <c r="AN197" s="667"/>
      <c r="AO197" s="667"/>
      <c r="AP197" s="667"/>
      <c r="AQ197" s="667"/>
      <c r="AR197" s="667"/>
      <c r="AS197" s="667"/>
      <c r="AT197" s="667"/>
      <c r="AU197" s="667"/>
      <c r="AV197" s="667"/>
      <c r="AW197" s="667"/>
      <c r="AX197" s="667"/>
      <c r="AY197" s="667"/>
      <c r="AZ197" s="667"/>
      <c r="BA197" s="667"/>
      <c r="BB197" s="667"/>
      <c r="BC197" s="667"/>
    </row>
    <row r="198" spans="1:55" s="674" customFormat="1" ht="6" customHeight="1">
      <c r="C198" s="675"/>
      <c r="E198" s="675"/>
      <c r="H198" s="669"/>
      <c r="I198" s="669"/>
      <c r="J198" s="669"/>
      <c r="K198" s="669"/>
      <c r="L198" s="669"/>
      <c r="M198" s="669"/>
      <c r="N198" s="669"/>
      <c r="O198" s="669"/>
      <c r="P198" s="669"/>
      <c r="Q198" s="669"/>
      <c r="R198" s="669"/>
      <c r="S198" s="669"/>
      <c r="T198" s="669"/>
      <c r="U198" s="667"/>
      <c r="W198" s="676"/>
      <c r="X198" s="667"/>
      <c r="Y198" s="667"/>
      <c r="Z198" s="667">
        <f t="shared" si="30"/>
        <v>0</v>
      </c>
      <c r="AA198" s="630"/>
      <c r="AB198" s="630"/>
      <c r="AC198" s="630"/>
      <c r="AD198" s="630"/>
      <c r="AE198" s="630"/>
      <c r="AF198" s="630"/>
      <c r="AG198" s="630"/>
      <c r="AH198" s="630"/>
      <c r="AI198" s="667"/>
      <c r="AJ198" s="667"/>
      <c r="AK198" s="667"/>
      <c r="AL198" s="667"/>
      <c r="AM198" s="667"/>
      <c r="AN198" s="667"/>
      <c r="AO198" s="667"/>
      <c r="AP198" s="667"/>
      <c r="AQ198" s="667"/>
      <c r="AR198" s="667"/>
      <c r="AS198" s="667"/>
      <c r="AT198" s="667"/>
      <c r="AU198" s="667"/>
      <c r="AV198" s="667"/>
      <c r="AW198" s="667"/>
      <c r="AX198" s="667"/>
      <c r="AY198" s="667"/>
      <c r="AZ198" s="667"/>
      <c r="BA198" s="667"/>
      <c r="BB198" s="667"/>
      <c r="BC198" s="667"/>
    </row>
    <row r="199" spans="1:55" s="674" customFormat="1">
      <c r="B199" s="674" t="s">
        <v>1237</v>
      </c>
      <c r="C199" s="675"/>
      <c r="E199" s="675"/>
      <c r="G199" s="674" t="s">
        <v>2296</v>
      </c>
      <c r="H199" s="668">
        <f>H197</f>
        <v>387498.98</v>
      </c>
      <c r="I199" s="668">
        <f t="shared" ref="I199:T199" si="42">I197</f>
        <v>0</v>
      </c>
      <c r="J199" s="668"/>
      <c r="K199" s="668"/>
      <c r="L199" s="668">
        <f t="shared" si="42"/>
        <v>0</v>
      </c>
      <c r="M199" s="668">
        <f t="shared" si="42"/>
        <v>387498.98</v>
      </c>
      <c r="N199" s="668">
        <f t="shared" si="42"/>
        <v>122689389.23</v>
      </c>
      <c r="O199" s="668" t="str">
        <f t="shared" si="42"/>
        <v>D</v>
      </c>
      <c r="P199" s="668">
        <f t="shared" si="42"/>
        <v>8</v>
      </c>
      <c r="Q199" s="668" t="str">
        <f t="shared" si="42"/>
        <v>stock</v>
      </c>
      <c r="R199" s="668">
        <f t="shared" si="42"/>
        <v>0</v>
      </c>
      <c r="S199" s="668">
        <f t="shared" si="42"/>
        <v>0</v>
      </c>
      <c r="T199" s="668">
        <f t="shared" si="42"/>
        <v>-120852997.36</v>
      </c>
      <c r="U199" s="668">
        <f>U197</f>
        <v>2223890.8500000089</v>
      </c>
      <c r="W199" s="676"/>
      <c r="X199" s="667"/>
      <c r="Y199" s="667"/>
      <c r="Z199" s="667">
        <f t="shared" si="30"/>
        <v>-2223890.8500000089</v>
      </c>
      <c r="AA199" s="630"/>
      <c r="AB199" s="630"/>
      <c r="AC199" s="630"/>
      <c r="AD199" s="630"/>
      <c r="AE199" s="630"/>
      <c r="AF199" s="630"/>
      <c r="AG199" s="630"/>
      <c r="AH199" s="630"/>
      <c r="AI199" s="667"/>
      <c r="AJ199" s="667"/>
      <c r="AK199" s="667"/>
      <c r="AL199" s="667"/>
      <c r="AM199" s="667"/>
      <c r="AN199" s="667"/>
      <c r="AO199" s="667"/>
      <c r="AP199" s="667"/>
      <c r="AQ199" s="667"/>
      <c r="AR199" s="667"/>
      <c r="AS199" s="667"/>
      <c r="AT199" s="667"/>
      <c r="AU199" s="667"/>
      <c r="AV199" s="667"/>
      <c r="AW199" s="667"/>
      <c r="AX199" s="667"/>
      <c r="AY199" s="667"/>
      <c r="AZ199" s="667"/>
      <c r="BA199" s="667"/>
      <c r="BB199" s="667"/>
      <c r="BC199" s="667"/>
    </row>
    <row r="200" spans="1:55" s="674" customFormat="1">
      <c r="C200" s="675"/>
      <c r="E200" s="675"/>
      <c r="H200" s="669"/>
      <c r="I200" s="669"/>
      <c r="J200" s="669"/>
      <c r="K200" s="669"/>
      <c r="L200" s="669"/>
      <c r="M200" s="669"/>
      <c r="N200" s="669"/>
      <c r="O200" s="667"/>
      <c r="P200" s="667"/>
      <c r="Q200" s="667"/>
      <c r="R200" s="667"/>
      <c r="S200" s="667"/>
      <c r="T200" s="667"/>
      <c r="U200" s="667"/>
      <c r="W200" s="676"/>
      <c r="X200" s="667"/>
      <c r="Y200" s="667"/>
      <c r="Z200" s="667">
        <f t="shared" ref="Z200:Z233" si="43">Y200-U200</f>
        <v>0</v>
      </c>
      <c r="AA200" s="630"/>
      <c r="AB200" s="630"/>
      <c r="AC200" s="630"/>
      <c r="AD200" s="630"/>
      <c r="AE200" s="630"/>
      <c r="AF200" s="630"/>
      <c r="AG200" s="630"/>
      <c r="AH200" s="630"/>
      <c r="AI200" s="667"/>
      <c r="AJ200" s="667"/>
      <c r="AK200" s="667"/>
      <c r="AL200" s="667"/>
      <c r="AM200" s="667"/>
      <c r="AN200" s="667"/>
      <c r="AO200" s="667"/>
      <c r="AP200" s="667"/>
      <c r="AQ200" s="667"/>
      <c r="AR200" s="667"/>
      <c r="AS200" s="667"/>
      <c r="AT200" s="667"/>
      <c r="AU200" s="667"/>
      <c r="AV200" s="667"/>
      <c r="AW200" s="667"/>
      <c r="AX200" s="667"/>
      <c r="AY200" s="667"/>
      <c r="AZ200" s="667"/>
      <c r="BA200" s="667"/>
      <c r="BB200" s="667"/>
      <c r="BC200" s="667"/>
    </row>
    <row r="201" spans="1:55" s="674" customFormat="1">
      <c r="A201" s="674">
        <v>5</v>
      </c>
      <c r="B201" s="674" t="s">
        <v>1177</v>
      </c>
      <c r="C201" s="675" t="s">
        <v>1226</v>
      </c>
      <c r="D201" s="674" t="s">
        <v>1177</v>
      </c>
      <c r="E201" s="675" t="s">
        <v>1226</v>
      </c>
      <c r="F201" s="674" t="s">
        <v>2297</v>
      </c>
      <c r="G201" s="674" t="s">
        <v>2298</v>
      </c>
      <c r="H201" s="667">
        <v>9081600.7400000002</v>
      </c>
      <c r="I201" s="667"/>
      <c r="J201" s="667"/>
      <c r="K201" s="667"/>
      <c r="L201" s="667"/>
      <c r="M201" s="667">
        <f>H201+I201+L201</f>
        <v>9081600.7400000002</v>
      </c>
      <c r="N201" s="667">
        <f>30036531.53+5200457.41</f>
        <v>35236988.939999998</v>
      </c>
      <c r="O201" s="667" t="s">
        <v>1228</v>
      </c>
      <c r="P201" s="667">
        <v>9</v>
      </c>
      <c r="Q201" s="667" t="s">
        <v>1374</v>
      </c>
      <c r="R201" s="667" t="s">
        <v>1386</v>
      </c>
      <c r="S201" s="667"/>
      <c r="T201" s="667">
        <v>-31655844.440000001</v>
      </c>
      <c r="U201" s="667">
        <f>+M201+N201+T201</f>
        <v>12662745.239999998</v>
      </c>
      <c r="W201" s="676"/>
      <c r="X201" s="667"/>
      <c r="Y201" s="667"/>
      <c r="Z201" s="667">
        <f t="shared" si="43"/>
        <v>-12662745.239999998</v>
      </c>
      <c r="AA201" s="630"/>
      <c r="AB201" s="630"/>
      <c r="AC201" s="630"/>
      <c r="AD201" s="630"/>
      <c r="AE201" s="630"/>
      <c r="AF201" s="630"/>
      <c r="AG201" s="630"/>
      <c r="AH201" s="630"/>
      <c r="AI201" s="667"/>
      <c r="AJ201" s="667"/>
      <c r="AK201" s="667"/>
      <c r="AL201" s="667"/>
      <c r="AM201" s="667"/>
      <c r="AN201" s="667"/>
      <c r="AO201" s="667"/>
      <c r="AP201" s="667"/>
      <c r="AQ201" s="667"/>
      <c r="AR201" s="667"/>
      <c r="AS201" s="667"/>
      <c r="AT201" s="667"/>
      <c r="AU201" s="667"/>
      <c r="AV201" s="667"/>
      <c r="AW201" s="667"/>
      <c r="AX201" s="667"/>
      <c r="AY201" s="667"/>
      <c r="AZ201" s="667"/>
      <c r="BA201" s="667"/>
      <c r="BB201" s="667"/>
      <c r="BC201" s="667"/>
    </row>
    <row r="202" spans="1:55" s="674" customFormat="1">
      <c r="A202" s="674">
        <v>5</v>
      </c>
      <c r="B202" s="674" t="s">
        <v>1177</v>
      </c>
      <c r="C202" s="675" t="s">
        <v>1226</v>
      </c>
      <c r="D202" s="674" t="s">
        <v>1177</v>
      </c>
      <c r="E202" s="675" t="s">
        <v>1226</v>
      </c>
      <c r="F202" s="674" t="s">
        <v>2299</v>
      </c>
      <c r="G202" s="674" t="s">
        <v>2300</v>
      </c>
      <c r="H202" s="667">
        <v>613620.87</v>
      </c>
      <c r="I202" s="667"/>
      <c r="J202" s="667"/>
      <c r="K202" s="667"/>
      <c r="L202" s="667"/>
      <c r="M202" s="672">
        <f>H202+I202+L202</f>
        <v>613620.87</v>
      </c>
      <c r="N202" s="667">
        <v>394633.67</v>
      </c>
      <c r="O202" s="667" t="s">
        <v>1228</v>
      </c>
      <c r="P202" s="667">
        <v>9</v>
      </c>
      <c r="Q202" s="667" t="s">
        <v>1374</v>
      </c>
      <c r="R202" s="667" t="s">
        <v>1386</v>
      </c>
      <c r="S202" s="667"/>
      <c r="T202" s="667">
        <v>-496854.75</v>
      </c>
      <c r="U202" s="667">
        <f>+M202+N202+T202</f>
        <v>511399.79000000004</v>
      </c>
      <c r="W202" s="676"/>
      <c r="X202" s="667"/>
      <c r="Y202" s="667"/>
      <c r="Z202" s="667">
        <f t="shared" si="43"/>
        <v>-511399.79000000004</v>
      </c>
      <c r="AA202" s="630"/>
      <c r="AB202" s="630"/>
      <c r="AC202" s="630"/>
      <c r="AD202" s="630"/>
      <c r="AE202" s="630"/>
      <c r="AF202" s="630"/>
      <c r="AG202" s="630"/>
      <c r="AH202" s="630"/>
      <c r="AI202" s="667"/>
      <c r="AJ202" s="667"/>
      <c r="AK202" s="667"/>
      <c r="AL202" s="667"/>
      <c r="AM202" s="667"/>
      <c r="AN202" s="667"/>
      <c r="AO202" s="667"/>
      <c r="AP202" s="667"/>
      <c r="AQ202" s="667"/>
      <c r="AR202" s="667"/>
      <c r="AS202" s="667"/>
      <c r="AT202" s="667"/>
      <c r="AU202" s="667"/>
      <c r="AV202" s="667"/>
      <c r="AW202" s="667"/>
      <c r="AX202" s="667"/>
      <c r="AY202" s="667"/>
      <c r="AZ202" s="667"/>
      <c r="BA202" s="667"/>
      <c r="BB202" s="667"/>
      <c r="BC202" s="667"/>
    </row>
    <row r="203" spans="1:55" s="674" customFormat="1">
      <c r="A203" s="674">
        <v>5</v>
      </c>
      <c r="B203" s="674" t="s">
        <v>1177</v>
      </c>
      <c r="C203" s="675" t="s">
        <v>1226</v>
      </c>
      <c r="D203" s="674" t="s">
        <v>1177</v>
      </c>
      <c r="E203" s="675" t="s">
        <v>1226</v>
      </c>
      <c r="F203" s="674" t="s">
        <v>2301</v>
      </c>
      <c r="G203" s="674" t="s">
        <v>2302</v>
      </c>
      <c r="H203" s="667">
        <v>1757.51</v>
      </c>
      <c r="I203" s="667"/>
      <c r="J203" s="667"/>
      <c r="K203" s="667"/>
      <c r="L203" s="667"/>
      <c r="M203" s="672">
        <f>H203+I203+L203</f>
        <v>1757.51</v>
      </c>
      <c r="N203" s="667">
        <v>0</v>
      </c>
      <c r="O203" s="667" t="s">
        <v>1228</v>
      </c>
      <c r="P203" s="667">
        <v>9</v>
      </c>
      <c r="Q203" s="667" t="s">
        <v>1374</v>
      </c>
      <c r="R203" s="667" t="s">
        <v>1386</v>
      </c>
      <c r="S203" s="667"/>
      <c r="T203" s="667">
        <v>0</v>
      </c>
      <c r="U203" s="667">
        <f>+M203+N203+T203</f>
        <v>1757.51</v>
      </c>
      <c r="W203" s="676"/>
      <c r="X203" s="667"/>
      <c r="Y203" s="667"/>
      <c r="Z203" s="667">
        <f t="shared" si="43"/>
        <v>-1757.51</v>
      </c>
      <c r="AA203" s="630"/>
      <c r="AB203" s="630"/>
      <c r="AC203" s="630"/>
      <c r="AD203" s="630"/>
      <c r="AE203" s="630"/>
      <c r="AF203" s="630"/>
      <c r="AG203" s="630"/>
      <c r="AH203" s="630"/>
      <c r="AI203" s="667"/>
      <c r="AJ203" s="667"/>
      <c r="AK203" s="667"/>
      <c r="AL203" s="667"/>
      <c r="AM203" s="667"/>
      <c r="AN203" s="667"/>
      <c r="AO203" s="667"/>
      <c r="AP203" s="667"/>
      <c r="AQ203" s="667"/>
      <c r="AR203" s="667"/>
      <c r="AS203" s="667"/>
      <c r="AT203" s="667"/>
      <c r="AU203" s="667"/>
      <c r="AV203" s="667"/>
      <c r="AW203" s="667"/>
      <c r="AX203" s="667"/>
      <c r="AY203" s="667"/>
      <c r="AZ203" s="667"/>
      <c r="BA203" s="667"/>
      <c r="BB203" s="667"/>
      <c r="BC203" s="667"/>
    </row>
    <row r="204" spans="1:55">
      <c r="A204" s="629">
        <v>5</v>
      </c>
      <c r="B204" s="629" t="s">
        <v>1177</v>
      </c>
      <c r="C204" s="637" t="s">
        <v>1226</v>
      </c>
      <c r="D204" s="629" t="s">
        <v>1177</v>
      </c>
      <c r="E204" s="637" t="s">
        <v>1226</v>
      </c>
      <c r="F204" s="629" t="s">
        <v>2303</v>
      </c>
      <c r="G204" s="629" t="s">
        <v>3244</v>
      </c>
      <c r="H204" s="630">
        <v>2290042.98</v>
      </c>
      <c r="L204" s="667">
        <v>-2290042.98</v>
      </c>
      <c r="M204" s="630">
        <f>H204+I204+L204</f>
        <v>0</v>
      </c>
      <c r="N204" s="630">
        <v>2231749.7000000002</v>
      </c>
      <c r="O204" s="630" t="s">
        <v>1228</v>
      </c>
      <c r="P204" s="630">
        <v>10</v>
      </c>
      <c r="Q204" s="630" t="s">
        <v>1374</v>
      </c>
      <c r="R204" s="630" t="s">
        <v>1386</v>
      </c>
      <c r="T204" s="630">
        <f>-4521792.68+2290042.98</f>
        <v>-2231749.6999999997</v>
      </c>
      <c r="U204" s="630">
        <f>+M204+N204+T204</f>
        <v>0</v>
      </c>
      <c r="W204" s="639"/>
      <c r="Z204" s="630">
        <f t="shared" si="43"/>
        <v>0</v>
      </c>
    </row>
    <row r="205" spans="1:55" ht="6" customHeight="1">
      <c r="C205" s="637"/>
      <c r="E205" s="637"/>
      <c r="W205" s="639"/>
      <c r="Z205" s="630">
        <f t="shared" si="43"/>
        <v>0</v>
      </c>
    </row>
    <row r="206" spans="1:55">
      <c r="B206" s="629" t="s">
        <v>1231</v>
      </c>
      <c r="C206" s="637"/>
      <c r="E206" s="637"/>
      <c r="G206" s="629" t="s">
        <v>2304</v>
      </c>
      <c r="H206" s="642">
        <f>SUM(H201:H205)</f>
        <v>11987022.1</v>
      </c>
      <c r="I206" s="668">
        <f t="shared" ref="I206:T206" si="44">SUM(I201:I205)</f>
        <v>0</v>
      </c>
      <c r="J206" s="668"/>
      <c r="K206" s="668"/>
      <c r="L206" s="668">
        <f t="shared" si="44"/>
        <v>-2290042.98</v>
      </c>
      <c r="M206" s="642">
        <f>SUM(M201:M205)</f>
        <v>9696979.1199999992</v>
      </c>
      <c r="N206" s="642">
        <f t="shared" si="44"/>
        <v>37863372.310000002</v>
      </c>
      <c r="O206" s="642">
        <f t="shared" si="44"/>
        <v>0</v>
      </c>
      <c r="P206" s="642">
        <f t="shared" si="44"/>
        <v>37</v>
      </c>
      <c r="Q206" s="642">
        <f t="shared" si="44"/>
        <v>0</v>
      </c>
      <c r="R206" s="642">
        <f t="shared" si="44"/>
        <v>0</v>
      </c>
      <c r="S206" s="642">
        <f t="shared" si="44"/>
        <v>0</v>
      </c>
      <c r="T206" s="642">
        <f t="shared" si="44"/>
        <v>-34384448.890000001</v>
      </c>
      <c r="U206" s="642">
        <f>SUM(U201:U205)</f>
        <v>13175902.539999997</v>
      </c>
      <c r="W206" s="639"/>
      <c r="Z206" s="630">
        <f t="shared" si="43"/>
        <v>-13175902.539999997</v>
      </c>
    </row>
    <row r="207" spans="1:55">
      <c r="C207" s="637"/>
      <c r="E207" s="637"/>
      <c r="H207" s="638"/>
      <c r="I207" s="669"/>
      <c r="J207" s="669"/>
      <c r="K207" s="669"/>
      <c r="L207" s="669"/>
      <c r="M207" s="638"/>
      <c r="N207" s="638"/>
      <c r="W207" s="639"/>
      <c r="Z207" s="630">
        <f t="shared" si="43"/>
        <v>0</v>
      </c>
    </row>
    <row r="208" spans="1:55">
      <c r="A208" s="629">
        <v>5</v>
      </c>
      <c r="B208" s="629" t="s">
        <v>1177</v>
      </c>
      <c r="C208" s="637" t="s">
        <v>1226</v>
      </c>
      <c r="D208" s="629" t="s">
        <v>2305</v>
      </c>
      <c r="E208" s="637" t="s">
        <v>1226</v>
      </c>
      <c r="F208" s="629" t="s">
        <v>2306</v>
      </c>
      <c r="G208" s="629" t="s">
        <v>3245</v>
      </c>
      <c r="H208" s="630">
        <v>11545.68</v>
      </c>
      <c r="M208" s="663">
        <f t="shared" ref="M208:M217" si="45">H208+I208+L208</f>
        <v>11545.68</v>
      </c>
      <c r="N208" s="630">
        <v>38788.07</v>
      </c>
      <c r="O208" s="630" t="s">
        <v>1228</v>
      </c>
      <c r="P208" s="630">
        <v>9</v>
      </c>
      <c r="Q208" s="630" t="s">
        <v>1374</v>
      </c>
      <c r="R208" s="630" t="s">
        <v>1386</v>
      </c>
      <c r="T208" s="630">
        <v>-37720.769999999997</v>
      </c>
      <c r="U208" s="630">
        <f t="shared" ref="U208:U217" si="46">+M208+N208+T208</f>
        <v>12612.980000000003</v>
      </c>
      <c r="W208" s="639"/>
      <c r="Z208" s="630">
        <f t="shared" si="43"/>
        <v>-12612.980000000003</v>
      </c>
    </row>
    <row r="209" spans="1:26">
      <c r="A209" s="629">
        <v>5</v>
      </c>
      <c r="B209" s="629" t="s">
        <v>1177</v>
      </c>
      <c r="C209" s="637" t="s">
        <v>1226</v>
      </c>
      <c r="D209" s="629" t="s">
        <v>2305</v>
      </c>
      <c r="E209" s="637" t="s">
        <v>1226</v>
      </c>
      <c r="F209" s="629" t="s">
        <v>2307</v>
      </c>
      <c r="G209" s="629" t="s">
        <v>2308</v>
      </c>
      <c r="H209" s="630">
        <v>0</v>
      </c>
      <c r="M209" s="663">
        <f t="shared" si="45"/>
        <v>0</v>
      </c>
      <c r="N209" s="630">
        <v>2170.1</v>
      </c>
      <c r="O209" s="630" t="s">
        <v>1228</v>
      </c>
      <c r="P209" s="630">
        <v>9</v>
      </c>
      <c r="Q209" s="630" t="s">
        <v>1374</v>
      </c>
      <c r="R209" s="630" t="s">
        <v>1386</v>
      </c>
      <c r="T209" s="630">
        <v>-2170.1</v>
      </c>
      <c r="U209" s="630">
        <f t="shared" si="46"/>
        <v>0</v>
      </c>
      <c r="W209" s="639"/>
      <c r="Z209" s="630">
        <f t="shared" si="43"/>
        <v>0</v>
      </c>
    </row>
    <row r="210" spans="1:26">
      <c r="A210" s="629">
        <v>5</v>
      </c>
      <c r="B210" s="629" t="s">
        <v>1177</v>
      </c>
      <c r="C210" s="637" t="s">
        <v>1226</v>
      </c>
      <c r="D210" s="629" t="s">
        <v>2305</v>
      </c>
      <c r="E210" s="637" t="s">
        <v>1226</v>
      </c>
      <c r="F210" s="629" t="s">
        <v>2309</v>
      </c>
      <c r="G210" s="629" t="s">
        <v>2310</v>
      </c>
      <c r="H210" s="630">
        <v>0</v>
      </c>
      <c r="M210" s="663">
        <f t="shared" si="45"/>
        <v>0</v>
      </c>
      <c r="N210" s="630">
        <v>440.2</v>
      </c>
      <c r="O210" s="630" t="s">
        <v>1228</v>
      </c>
      <c r="P210" s="630">
        <v>9</v>
      </c>
      <c r="Q210" s="630" t="s">
        <v>1374</v>
      </c>
      <c r="R210" s="630" t="s">
        <v>1368</v>
      </c>
      <c r="T210" s="630">
        <v>-440.2</v>
      </c>
      <c r="U210" s="630">
        <f t="shared" si="46"/>
        <v>0</v>
      </c>
      <c r="W210" s="639"/>
      <c r="Z210" s="630">
        <f t="shared" si="43"/>
        <v>0</v>
      </c>
    </row>
    <row r="211" spans="1:26">
      <c r="B211" s="629">
        <v>940</v>
      </c>
      <c r="C211" s="637"/>
      <c r="D211" s="640">
        <v>941</v>
      </c>
      <c r="E211" s="637"/>
      <c r="F211" s="640">
        <v>9454</v>
      </c>
      <c r="G211" s="1223" t="s">
        <v>3424</v>
      </c>
      <c r="M211" s="663"/>
      <c r="N211" s="630">
        <v>2313593.52</v>
      </c>
      <c r="U211" s="630">
        <f t="shared" si="46"/>
        <v>2313593.52</v>
      </c>
      <c r="W211" s="639"/>
    </row>
    <row r="212" spans="1:26">
      <c r="A212" s="629">
        <v>5</v>
      </c>
      <c r="B212" s="629" t="s">
        <v>1177</v>
      </c>
      <c r="C212" s="637" t="s">
        <v>1226</v>
      </c>
      <c r="D212" s="629" t="s">
        <v>2305</v>
      </c>
      <c r="E212" s="637" t="s">
        <v>1226</v>
      </c>
      <c r="F212" s="629" t="s">
        <v>2311</v>
      </c>
      <c r="G212" s="629" t="s">
        <v>3424</v>
      </c>
      <c r="H212" s="630">
        <v>3122632.29</v>
      </c>
      <c r="M212" s="663">
        <f t="shared" si="45"/>
        <v>3122632.29</v>
      </c>
      <c r="N212" s="630">
        <v>19592379.559999999</v>
      </c>
      <c r="O212" s="630" t="s">
        <v>1228</v>
      </c>
      <c r="P212" s="630">
        <v>9</v>
      </c>
      <c r="Q212" s="630" t="s">
        <v>1374</v>
      </c>
      <c r="T212" s="630">
        <v>-21184624.030000001</v>
      </c>
      <c r="U212" s="630">
        <f t="shared" si="46"/>
        <v>1530387.8199999966</v>
      </c>
      <c r="W212" s="639"/>
      <c r="Z212" s="630">
        <f t="shared" si="43"/>
        <v>-1530387.8199999966</v>
      </c>
    </row>
    <row r="213" spans="1:26">
      <c r="A213" s="629">
        <v>5</v>
      </c>
      <c r="B213" s="629" t="s">
        <v>1177</v>
      </c>
      <c r="C213" s="637" t="s">
        <v>1226</v>
      </c>
      <c r="D213" s="629" t="s">
        <v>2305</v>
      </c>
      <c r="E213" s="637" t="s">
        <v>1226</v>
      </c>
      <c r="F213" s="629" t="s">
        <v>2303</v>
      </c>
      <c r="G213" s="629" t="s">
        <v>2312</v>
      </c>
      <c r="H213" s="630">
        <v>112330.01</v>
      </c>
      <c r="M213" s="663">
        <f t="shared" si="45"/>
        <v>112330.01</v>
      </c>
      <c r="N213" s="630">
        <v>0</v>
      </c>
      <c r="O213" s="630" t="s">
        <v>1228</v>
      </c>
      <c r="P213" s="630">
        <v>9</v>
      </c>
      <c r="Q213" s="630" t="s">
        <v>1374</v>
      </c>
      <c r="R213" s="630" t="s">
        <v>1386</v>
      </c>
      <c r="U213" s="630">
        <f t="shared" si="46"/>
        <v>112330.01</v>
      </c>
      <c r="W213" s="639"/>
      <c r="Z213" s="630">
        <f t="shared" si="43"/>
        <v>-112330.01</v>
      </c>
    </row>
    <row r="214" spans="1:26">
      <c r="A214" s="629">
        <v>5</v>
      </c>
      <c r="B214" s="629" t="s">
        <v>1177</v>
      </c>
      <c r="C214" s="637" t="s">
        <v>1226</v>
      </c>
      <c r="D214" s="629" t="s">
        <v>2305</v>
      </c>
      <c r="E214" s="637" t="s">
        <v>1226</v>
      </c>
      <c r="F214" s="629" t="s">
        <v>2313</v>
      </c>
      <c r="G214" s="629" t="s">
        <v>884</v>
      </c>
      <c r="H214" s="630">
        <v>25754.28</v>
      </c>
      <c r="M214" s="663">
        <f t="shared" si="45"/>
        <v>25754.28</v>
      </c>
      <c r="N214" s="630">
        <v>0</v>
      </c>
      <c r="O214" s="630" t="s">
        <v>1228</v>
      </c>
      <c r="P214" s="630">
        <v>9</v>
      </c>
      <c r="Q214" s="630" t="s">
        <v>1374</v>
      </c>
      <c r="R214" s="630" t="s">
        <v>1386</v>
      </c>
      <c r="T214" s="630">
        <v>-25754.28</v>
      </c>
      <c r="U214" s="630">
        <f t="shared" si="46"/>
        <v>0</v>
      </c>
      <c r="W214" s="639"/>
      <c r="Z214" s="630">
        <f t="shared" si="43"/>
        <v>0</v>
      </c>
    </row>
    <row r="215" spans="1:26">
      <c r="A215" s="629">
        <v>5</v>
      </c>
      <c r="B215" s="629" t="s">
        <v>1177</v>
      </c>
      <c r="C215" s="637" t="s">
        <v>1226</v>
      </c>
      <c r="D215" s="629" t="s">
        <v>2305</v>
      </c>
      <c r="E215" s="637" t="s">
        <v>1226</v>
      </c>
      <c r="F215" s="629" t="s">
        <v>885</v>
      </c>
      <c r="G215" s="629" t="s">
        <v>911</v>
      </c>
      <c r="H215" s="630">
        <v>0</v>
      </c>
      <c r="M215" s="663">
        <f t="shared" si="45"/>
        <v>0</v>
      </c>
      <c r="N215" s="630">
        <v>22956.39</v>
      </c>
      <c r="O215" s="630" t="s">
        <v>1228</v>
      </c>
      <c r="P215" s="630">
        <v>9</v>
      </c>
      <c r="Q215" s="630" t="s">
        <v>1374</v>
      </c>
      <c r="R215" s="630" t="s">
        <v>1386</v>
      </c>
      <c r="U215" s="630">
        <f t="shared" si="46"/>
        <v>22956.39</v>
      </c>
      <c r="W215" s="639"/>
      <c r="Z215" s="630">
        <f t="shared" si="43"/>
        <v>-22956.39</v>
      </c>
    </row>
    <row r="216" spans="1:26">
      <c r="A216" s="629">
        <v>5</v>
      </c>
      <c r="B216" s="629" t="s">
        <v>1177</v>
      </c>
      <c r="C216" s="637" t="s">
        <v>1226</v>
      </c>
      <c r="D216" s="629" t="s">
        <v>2305</v>
      </c>
      <c r="E216" s="637" t="s">
        <v>1226</v>
      </c>
      <c r="F216" s="629" t="s">
        <v>886</v>
      </c>
      <c r="G216" s="1223" t="s">
        <v>3703</v>
      </c>
      <c r="H216" s="630">
        <v>0</v>
      </c>
      <c r="M216" s="630">
        <f t="shared" si="45"/>
        <v>0</v>
      </c>
      <c r="N216" s="630">
        <v>834954.6</v>
      </c>
      <c r="O216" s="630" t="s">
        <v>1228</v>
      </c>
      <c r="P216" s="630">
        <v>0</v>
      </c>
      <c r="Q216" s="630" t="s">
        <v>887</v>
      </c>
      <c r="U216" s="630">
        <f t="shared" si="46"/>
        <v>834954.6</v>
      </c>
      <c r="W216" s="639"/>
      <c r="Z216" s="630">
        <f t="shared" si="43"/>
        <v>-834954.6</v>
      </c>
    </row>
    <row r="217" spans="1:26">
      <c r="B217" s="637" t="s">
        <v>1177</v>
      </c>
      <c r="C217" s="637" t="s">
        <v>1226</v>
      </c>
      <c r="D217" s="637" t="s">
        <v>2305</v>
      </c>
      <c r="E217" s="637" t="s">
        <v>1226</v>
      </c>
      <c r="F217" s="637" t="s">
        <v>888</v>
      </c>
      <c r="G217" s="629" t="s">
        <v>2555</v>
      </c>
      <c r="H217" s="630">
        <v>0</v>
      </c>
      <c r="M217" s="663">
        <f t="shared" si="45"/>
        <v>0</v>
      </c>
      <c r="N217" s="630">
        <v>0</v>
      </c>
      <c r="U217" s="630">
        <f t="shared" si="46"/>
        <v>0</v>
      </c>
      <c r="W217" s="639"/>
      <c r="Z217" s="630">
        <f t="shared" si="43"/>
        <v>0</v>
      </c>
    </row>
    <row r="218" spans="1:26" ht="6" customHeight="1">
      <c r="C218" s="637"/>
      <c r="E218" s="637"/>
      <c r="W218" s="639"/>
      <c r="Z218" s="630">
        <f t="shared" si="43"/>
        <v>0</v>
      </c>
    </row>
    <row r="219" spans="1:26">
      <c r="B219" s="629" t="s">
        <v>1231</v>
      </c>
      <c r="C219" s="637"/>
      <c r="E219" s="637"/>
      <c r="G219" s="629" t="s">
        <v>2304</v>
      </c>
      <c r="H219" s="642">
        <f>SUM(H208:H218)</f>
        <v>3272262.26</v>
      </c>
      <c r="I219" s="668">
        <f t="shared" ref="I219:T219" si="47">SUM(I208:I218)</f>
        <v>0</v>
      </c>
      <c r="J219" s="668"/>
      <c r="K219" s="668"/>
      <c r="L219" s="668">
        <f t="shared" si="47"/>
        <v>0</v>
      </c>
      <c r="M219" s="642">
        <f>SUM(M208:M218)</f>
        <v>3272262.26</v>
      </c>
      <c r="N219" s="642">
        <f t="shared" si="47"/>
        <v>22805282.440000001</v>
      </c>
      <c r="O219" s="642">
        <f t="shared" si="47"/>
        <v>0</v>
      </c>
      <c r="P219" s="642">
        <f t="shared" si="47"/>
        <v>63</v>
      </c>
      <c r="Q219" s="642">
        <f t="shared" si="47"/>
        <v>0</v>
      </c>
      <c r="R219" s="642">
        <f t="shared" si="47"/>
        <v>0</v>
      </c>
      <c r="S219" s="642">
        <f t="shared" si="47"/>
        <v>0</v>
      </c>
      <c r="T219" s="642">
        <f t="shared" si="47"/>
        <v>-21250709.380000003</v>
      </c>
      <c r="U219" s="642">
        <f>SUM(U208:U218)</f>
        <v>4826835.3199999966</v>
      </c>
      <c r="W219" s="639"/>
      <c r="Z219" s="630">
        <f t="shared" si="43"/>
        <v>-4826835.3199999966</v>
      </c>
    </row>
    <row r="220" spans="1:26">
      <c r="C220" s="637"/>
      <c r="E220" s="637"/>
      <c r="W220" s="639"/>
      <c r="Z220" s="630">
        <f t="shared" si="43"/>
        <v>0</v>
      </c>
    </row>
    <row r="221" spans="1:26">
      <c r="A221" s="629">
        <v>5</v>
      </c>
      <c r="B221" s="629" t="s">
        <v>1177</v>
      </c>
      <c r="C221" s="637" t="s">
        <v>1226</v>
      </c>
      <c r="D221" s="629" t="s">
        <v>889</v>
      </c>
      <c r="E221" s="637" t="s">
        <v>1226</v>
      </c>
      <c r="F221" s="629" t="s">
        <v>890</v>
      </c>
      <c r="G221" s="629" t="s">
        <v>891</v>
      </c>
      <c r="H221" s="630">
        <v>0</v>
      </c>
      <c r="M221" s="630">
        <f>H221+I221+L221</f>
        <v>0</v>
      </c>
      <c r="N221" s="630">
        <v>0</v>
      </c>
      <c r="O221" s="630" t="s">
        <v>1228</v>
      </c>
      <c r="P221" s="630">
        <v>9</v>
      </c>
      <c r="R221" s="630" t="s">
        <v>1368</v>
      </c>
      <c r="U221" s="630">
        <f>+M221+N221+T221</f>
        <v>0</v>
      </c>
      <c r="W221" s="639"/>
      <c r="Z221" s="630">
        <f t="shared" si="43"/>
        <v>0</v>
      </c>
    </row>
    <row r="222" spans="1:26">
      <c r="C222" s="637"/>
      <c r="E222" s="637"/>
      <c r="H222" s="642">
        <f>SUM(H221)</f>
        <v>0</v>
      </c>
      <c r="I222" s="668">
        <f>SUM(I221)</f>
        <v>0</v>
      </c>
      <c r="J222" s="668"/>
      <c r="K222" s="668"/>
      <c r="L222" s="668">
        <f>SUM(L221)</f>
        <v>0</v>
      </c>
      <c r="M222" s="642">
        <f>SUM(M221)</f>
        <v>0</v>
      </c>
      <c r="N222" s="642">
        <f>SUM(N221)</f>
        <v>0</v>
      </c>
      <c r="O222" s="642">
        <f t="shared" ref="O222:U222" si="48">SUM(O221)</f>
        <v>0</v>
      </c>
      <c r="P222" s="642">
        <f t="shared" si="48"/>
        <v>9</v>
      </c>
      <c r="Q222" s="642">
        <f t="shared" si="48"/>
        <v>0</v>
      </c>
      <c r="R222" s="642">
        <f t="shared" si="48"/>
        <v>0</v>
      </c>
      <c r="S222" s="642">
        <f t="shared" si="48"/>
        <v>0</v>
      </c>
      <c r="T222" s="642">
        <f t="shared" si="48"/>
        <v>0</v>
      </c>
      <c r="U222" s="642">
        <f t="shared" si="48"/>
        <v>0</v>
      </c>
      <c r="W222" s="639"/>
      <c r="Z222" s="630">
        <f t="shared" si="43"/>
        <v>0</v>
      </c>
    </row>
    <row r="223" spans="1:26" ht="6" customHeight="1">
      <c r="C223" s="637"/>
      <c r="E223" s="637"/>
      <c r="W223" s="639"/>
      <c r="Z223" s="630">
        <f t="shared" si="43"/>
        <v>0</v>
      </c>
    </row>
    <row r="224" spans="1:26">
      <c r="A224" s="629">
        <v>5</v>
      </c>
      <c r="B224" s="629" t="s">
        <v>1178</v>
      </c>
      <c r="C224" s="637" t="s">
        <v>1226</v>
      </c>
      <c r="D224" s="629" t="s">
        <v>1178</v>
      </c>
      <c r="E224" s="637" t="s">
        <v>1226</v>
      </c>
      <c r="F224" s="629" t="s">
        <v>892</v>
      </c>
      <c r="G224" s="629" t="s">
        <v>3426</v>
      </c>
      <c r="H224" s="630">
        <v>2243645.73</v>
      </c>
      <c r="M224" s="630">
        <f>H224+I224+L224</f>
        <v>2243645.73</v>
      </c>
      <c r="N224" s="630">
        <v>66484583.990000002</v>
      </c>
      <c r="O224" s="630" t="s">
        <v>1228</v>
      </c>
      <c r="P224" s="630">
        <v>20</v>
      </c>
      <c r="T224" s="630">
        <v>-64632382.719999999</v>
      </c>
      <c r="U224" s="630">
        <f>+M224+N224+T224</f>
        <v>4095847</v>
      </c>
      <c r="W224" s="639"/>
      <c r="Z224" s="630">
        <f t="shared" si="43"/>
        <v>-4095847</v>
      </c>
    </row>
    <row r="225" spans="1:26">
      <c r="B225" s="629" t="s">
        <v>1237</v>
      </c>
      <c r="C225" s="637"/>
      <c r="E225" s="637"/>
      <c r="G225" s="629" t="s">
        <v>893</v>
      </c>
      <c r="H225" s="642">
        <f>SUM(H224)</f>
        <v>2243645.73</v>
      </c>
      <c r="I225" s="668">
        <f t="shared" ref="I225:T225" si="49">SUM(I224)</f>
        <v>0</v>
      </c>
      <c r="J225" s="668"/>
      <c r="K225" s="668"/>
      <c r="L225" s="668">
        <f t="shared" si="49"/>
        <v>0</v>
      </c>
      <c r="M225" s="642">
        <f t="shared" si="49"/>
        <v>2243645.73</v>
      </c>
      <c r="N225" s="642">
        <f t="shared" si="49"/>
        <v>66484583.990000002</v>
      </c>
      <c r="O225" s="642">
        <f t="shared" si="49"/>
        <v>0</v>
      </c>
      <c r="P225" s="642">
        <f t="shared" si="49"/>
        <v>20</v>
      </c>
      <c r="Q225" s="642">
        <f t="shared" si="49"/>
        <v>0</v>
      </c>
      <c r="R225" s="642">
        <f t="shared" si="49"/>
        <v>0</v>
      </c>
      <c r="S225" s="642">
        <f t="shared" si="49"/>
        <v>0</v>
      </c>
      <c r="T225" s="642">
        <f t="shared" si="49"/>
        <v>-64632382.719999999</v>
      </c>
      <c r="U225" s="642">
        <f>SUM(U224)</f>
        <v>4095847</v>
      </c>
      <c r="W225" s="639"/>
      <c r="Z225" s="630">
        <f t="shared" si="43"/>
        <v>-4095847</v>
      </c>
    </row>
    <row r="226" spans="1:26">
      <c r="C226" s="637"/>
      <c r="E226" s="637"/>
      <c r="W226" s="639"/>
      <c r="Z226" s="630">
        <f t="shared" si="43"/>
        <v>0</v>
      </c>
    </row>
    <row r="227" spans="1:26">
      <c r="A227" s="629">
        <v>5</v>
      </c>
      <c r="B227" s="629" t="s">
        <v>894</v>
      </c>
      <c r="C227" s="637" t="s">
        <v>1226</v>
      </c>
      <c r="D227" s="629" t="s">
        <v>894</v>
      </c>
      <c r="E227" s="637" t="s">
        <v>1226</v>
      </c>
      <c r="F227" s="629" t="s">
        <v>895</v>
      </c>
      <c r="G227" s="629" t="s">
        <v>896</v>
      </c>
      <c r="H227" s="630">
        <v>0</v>
      </c>
      <c r="N227" s="630">
        <v>0</v>
      </c>
      <c r="O227" s="630" t="s">
        <v>1228</v>
      </c>
      <c r="P227" s="630">
        <v>0</v>
      </c>
      <c r="R227" s="630">
        <f>16306805+416336-227062-263070</f>
        <v>16233009</v>
      </c>
      <c r="S227" s="630">
        <f>16900705-R227</f>
        <v>667696</v>
      </c>
      <c r="U227" s="630">
        <f>+M227+N227+T227</f>
        <v>0</v>
      </c>
      <c r="W227" s="639"/>
      <c r="Z227" s="630">
        <f t="shared" si="43"/>
        <v>0</v>
      </c>
    </row>
    <row r="228" spans="1:26" ht="6" customHeight="1">
      <c r="C228" s="637"/>
      <c r="E228" s="637"/>
      <c r="W228" s="639"/>
      <c r="Z228" s="630">
        <f t="shared" si="43"/>
        <v>0</v>
      </c>
    </row>
    <row r="229" spans="1:26">
      <c r="B229" s="629" t="s">
        <v>1231</v>
      </c>
      <c r="C229" s="637"/>
      <c r="E229" s="637"/>
      <c r="G229" s="629" t="s">
        <v>897</v>
      </c>
      <c r="H229" s="630">
        <f t="shared" ref="H229:U229" si="50">SUM(H225+H222+H219+H206+H199+H193+H185+H176+H167+H118+H107+H83+H44+H36+H31+H12)</f>
        <v>2.4214386940002441E-8</v>
      </c>
      <c r="I229" s="667">
        <f t="shared" si="50"/>
        <v>98843800.579999983</v>
      </c>
      <c r="J229" s="667">
        <f t="shared" si="50"/>
        <v>0</v>
      </c>
      <c r="K229" s="667">
        <f t="shared" si="50"/>
        <v>-40059138.490000002</v>
      </c>
      <c r="L229" s="667">
        <f t="shared" si="50"/>
        <v>-57222395.289999999</v>
      </c>
      <c r="M229" s="630">
        <f t="shared" si="50"/>
        <v>0.43999999389052391</v>
      </c>
      <c r="N229" s="630">
        <f t="shared" si="50"/>
        <v>587503828.88999999</v>
      </c>
      <c r="O229" s="630" t="e">
        <f t="shared" si="50"/>
        <v>#VALUE!</v>
      </c>
      <c r="P229" s="630">
        <f t="shared" si="50"/>
        <v>567</v>
      </c>
      <c r="Q229" s="630" t="e">
        <f t="shared" si="50"/>
        <v>#VALUE!</v>
      </c>
      <c r="R229" s="630">
        <f t="shared" si="50"/>
        <v>167141189.18000001</v>
      </c>
      <c r="S229" s="630">
        <f t="shared" si="50"/>
        <v>88662973.090000018</v>
      </c>
      <c r="T229" s="630">
        <f t="shared" si="50"/>
        <v>-587503829.55000007</v>
      </c>
      <c r="U229" s="630">
        <f t="shared" si="50"/>
        <v>-0.21999999836407369</v>
      </c>
      <c r="W229" s="639"/>
      <c r="Z229" s="630">
        <f t="shared" si="43"/>
        <v>0.21999999836407369</v>
      </c>
    </row>
    <row r="230" spans="1:26" ht="6" customHeight="1">
      <c r="C230" s="637"/>
      <c r="E230" s="637"/>
      <c r="W230" s="639"/>
      <c r="Z230" s="630">
        <f t="shared" si="43"/>
        <v>0</v>
      </c>
    </row>
    <row r="231" spans="1:26">
      <c r="B231" s="629" t="s">
        <v>1237</v>
      </c>
      <c r="C231" s="637"/>
      <c r="E231" s="637"/>
      <c r="G231" s="629" t="s">
        <v>897</v>
      </c>
      <c r="H231" s="642">
        <f t="shared" ref="H231:N231" si="51">H229</f>
        <v>2.4214386940002441E-8</v>
      </c>
      <c r="I231" s="668">
        <f t="shared" si="51"/>
        <v>98843800.579999983</v>
      </c>
      <c r="J231" s="668">
        <f t="shared" si="51"/>
        <v>0</v>
      </c>
      <c r="K231" s="668">
        <f t="shared" si="51"/>
        <v>-40059138.490000002</v>
      </c>
      <c r="L231" s="668">
        <f t="shared" si="51"/>
        <v>-57222395.289999999</v>
      </c>
      <c r="M231" s="642">
        <f t="shared" si="51"/>
        <v>0.43999999389052391</v>
      </c>
      <c r="N231" s="642">
        <f t="shared" si="51"/>
        <v>587503828.88999999</v>
      </c>
      <c r="O231" s="642" t="e">
        <f t="shared" ref="O231:U231" si="52">O229</f>
        <v>#VALUE!</v>
      </c>
      <c r="P231" s="642">
        <f t="shared" si="52"/>
        <v>567</v>
      </c>
      <c r="Q231" s="642" t="e">
        <f t="shared" si="52"/>
        <v>#VALUE!</v>
      </c>
      <c r="R231" s="642">
        <f t="shared" si="52"/>
        <v>167141189.18000001</v>
      </c>
      <c r="S231" s="642">
        <f t="shared" si="52"/>
        <v>88662973.090000018</v>
      </c>
      <c r="T231" s="642">
        <f t="shared" si="52"/>
        <v>-587503829.55000007</v>
      </c>
      <c r="U231" s="642">
        <f t="shared" si="52"/>
        <v>-0.21999999836407369</v>
      </c>
      <c r="W231" s="639"/>
      <c r="Z231" s="630">
        <f t="shared" si="43"/>
        <v>0.21999999836407369</v>
      </c>
    </row>
    <row r="232" spans="1:26">
      <c r="C232" s="637"/>
      <c r="E232" s="637"/>
      <c r="H232" s="638"/>
      <c r="I232" s="669"/>
      <c r="J232" s="669"/>
      <c r="K232" s="669"/>
      <c r="L232" s="669"/>
      <c r="M232" s="638"/>
      <c r="N232" s="638"/>
      <c r="Z232" s="630">
        <f t="shared" si="43"/>
        <v>0</v>
      </c>
    </row>
    <row r="233" spans="1:26" hidden="1">
      <c r="C233" s="637"/>
      <c r="E233" s="637"/>
      <c r="H233" s="638">
        <f>H10+H27+H29+H34+H42+H48+H81+H105+H111+H116+H125+H165+H174+H185+H191+H197+H206+H219+H222+H225+H231+H7</f>
        <v>4.8428773880004883E-8</v>
      </c>
      <c r="I233" s="669">
        <f>I10+I27+I29+I34+I42+I48+I81+I105+I111+I116+I125+I165+I174+I185+I191+I197+I206+I219+I222+I225+I231+I7</f>
        <v>197687601.15999997</v>
      </c>
      <c r="J233" s="669"/>
      <c r="K233" s="669"/>
      <c r="L233" s="669">
        <f>L10+L27+L29+L34+L42+L48+L81+L105+L111+L116+L125+L165+L174+L185+L191+L197+L206+L219+L222+L225+L231+L7</f>
        <v>-114444790.58</v>
      </c>
      <c r="M233" s="638">
        <f>M10+M27+M29+M34+M42+M48+M81+M105+M111+M116+M125+M165+M174+M185+M191+M197+M206+M219+M222+M225+M231+M7</f>
        <v>31895.809999994468</v>
      </c>
      <c r="N233" s="638">
        <f t="shared" ref="N233:U233" si="53">N10+N31+N34+N42+N48+N81+N105+N111+N116+N125+N165+N174+N185+N191+N197+N206+N219+N222+N225+N231+N7</f>
        <v>1175007657.78</v>
      </c>
      <c r="O233" s="638" t="e">
        <f t="shared" si="53"/>
        <v>#VALUE!</v>
      </c>
      <c r="P233" s="638">
        <f t="shared" si="53"/>
        <v>1134</v>
      </c>
      <c r="Q233" s="638" t="e">
        <f t="shared" si="53"/>
        <v>#VALUE!</v>
      </c>
      <c r="R233" s="638">
        <f t="shared" si="53"/>
        <v>334282378.36000001</v>
      </c>
      <c r="S233" s="638">
        <f t="shared" si="53"/>
        <v>177325946.18000004</v>
      </c>
      <c r="T233" s="638">
        <f t="shared" si="53"/>
        <v>-1175007659.1000001</v>
      </c>
      <c r="U233" s="638">
        <f t="shared" si="53"/>
        <v>-0.44000000231608283</v>
      </c>
      <c r="Z233" s="630">
        <f t="shared" si="43"/>
        <v>0.44000000231608283</v>
      </c>
    </row>
    <row r="234" spans="1:26">
      <c r="C234" s="637"/>
      <c r="E234" s="637"/>
      <c r="H234" s="638"/>
      <c r="I234" s="669"/>
      <c r="J234" s="669"/>
      <c r="K234" s="669"/>
      <c r="L234" s="669">
        <f>L229+K229</f>
        <v>-97281533.780000001</v>
      </c>
      <c r="M234" s="638">
        <f>+M229*2</f>
        <v>0.87999998778104782</v>
      </c>
      <c r="N234" s="638"/>
    </row>
    <row r="235" spans="1:26">
      <c r="C235" s="637"/>
      <c r="E235" s="637"/>
      <c r="H235" s="638"/>
      <c r="I235" s="669"/>
      <c r="J235" s="669"/>
      <c r="K235" s="669"/>
      <c r="L235" s="669">
        <f>L234+I229</f>
        <v>1562266.7999999821</v>
      </c>
      <c r="M235" s="630">
        <f>+M231/2</f>
        <v>0.21999999694526196</v>
      </c>
      <c r="N235" s="638"/>
    </row>
    <row r="236" spans="1:26">
      <c r="T236" s="630" t="s">
        <v>55</v>
      </c>
    </row>
  </sheetData>
  <mergeCells count="1">
    <mergeCell ref="B3:F3"/>
  </mergeCells>
  <phoneticPr fontId="34" type="noConversion"/>
  <pageMargins left="0.70866141732283472" right="0.70866141732283472" top="0.74803149606299213" bottom="0.74803149606299213" header="0.31496062992125984" footer="0.31496062992125984"/>
  <pageSetup paperSize="9" scale="82" fitToHeight="10" orientation="landscape" r:id="rId1"/>
  <legacyDrawing r:id="rId2"/>
</worksheet>
</file>

<file path=xl/worksheets/sheet20.xml><?xml version="1.0" encoding="utf-8"?>
<worksheet xmlns="http://schemas.openxmlformats.org/spreadsheetml/2006/main" xmlns:r="http://schemas.openxmlformats.org/officeDocument/2006/relationships">
  <dimension ref="A1:K162"/>
  <sheetViews>
    <sheetView view="pageBreakPreview" zoomScaleSheetLayoutView="100" workbookViewId="0">
      <selection activeCell="A8" sqref="A8"/>
    </sheetView>
  </sheetViews>
  <sheetFormatPr defaultRowHeight="15"/>
  <cols>
    <col min="1" max="1" width="9.140625" customWidth="1"/>
    <col min="2" max="2" width="12.140625" customWidth="1"/>
    <col min="3" max="3" width="37.5703125" customWidth="1"/>
    <col min="4" max="4" width="10.28515625" customWidth="1"/>
    <col min="5" max="5" width="57.42578125" customWidth="1"/>
    <col min="6" max="6" width="44.7109375" customWidth="1"/>
  </cols>
  <sheetData>
    <row r="1" spans="1:11">
      <c r="A1" s="1420" t="s">
        <v>3645</v>
      </c>
      <c r="B1" s="1420"/>
      <c r="C1" s="1420"/>
      <c r="D1" s="1420"/>
      <c r="E1" s="1420"/>
      <c r="F1" s="1420"/>
    </row>
    <row r="2" spans="1:11">
      <c r="A2" s="1420" t="s">
        <v>3646</v>
      </c>
      <c r="B2" s="1420"/>
      <c r="C2" s="1420"/>
      <c r="D2" s="1420"/>
      <c r="E2" s="1420"/>
      <c r="F2" s="1420"/>
    </row>
    <row r="3" spans="1:11">
      <c r="A3" s="523"/>
      <c r="B3" s="523"/>
      <c r="C3" s="523"/>
      <c r="D3" s="523"/>
      <c r="E3" s="523"/>
      <c r="F3" s="523"/>
    </row>
    <row r="4" spans="1:11">
      <c r="A4" s="1420" t="s">
        <v>1399</v>
      </c>
      <c r="B4" s="1420"/>
      <c r="C4" s="1420"/>
      <c r="D4" s="1420"/>
      <c r="E4" s="1420"/>
      <c r="F4" s="1420"/>
    </row>
    <row r="5" spans="1:11">
      <c r="A5" s="1421" t="s">
        <v>3100</v>
      </c>
      <c r="B5" s="1421"/>
      <c r="C5" s="1421"/>
      <c r="D5" s="1421"/>
      <c r="E5" s="1421"/>
      <c r="F5" s="1421"/>
    </row>
    <row r="7" spans="1:11" ht="15.75" customHeight="1">
      <c r="A7" s="494">
        <v>43</v>
      </c>
      <c r="B7" s="1419" t="s">
        <v>3643</v>
      </c>
      <c r="C7" s="1419"/>
      <c r="D7" s="1419"/>
      <c r="E7" s="1419"/>
      <c r="F7" s="1419"/>
      <c r="G7" s="495"/>
      <c r="H7" s="495"/>
      <c r="I7" s="495"/>
      <c r="J7" s="495"/>
      <c r="K7" s="495"/>
    </row>
    <row r="8" spans="1:11">
      <c r="A8" s="355"/>
      <c r="B8" s="355"/>
    </row>
    <row r="9" spans="1:11" ht="84.75" customHeight="1">
      <c r="A9" s="1418" t="s">
        <v>3644</v>
      </c>
      <c r="B9" s="1418"/>
      <c r="C9" s="1418"/>
      <c r="D9" s="1418"/>
      <c r="E9" s="1418"/>
      <c r="F9" s="1418"/>
      <c r="G9" s="522"/>
      <c r="H9" s="522"/>
      <c r="I9" s="522"/>
      <c r="J9" s="522"/>
      <c r="K9" s="522"/>
    </row>
    <row r="10" spans="1:11" ht="15.75" thickBot="1">
      <c r="A10" s="355"/>
      <c r="B10" s="355"/>
      <c r="C10" s="355"/>
      <c r="D10" s="355"/>
      <c r="E10" s="355"/>
      <c r="F10" s="355"/>
    </row>
    <row r="11" spans="1:11" ht="34.5" thickBot="1">
      <c r="A11" s="496" t="s">
        <v>3647</v>
      </c>
      <c r="B11" s="497" t="s">
        <v>3648</v>
      </c>
      <c r="C11" s="497" t="s">
        <v>3649</v>
      </c>
      <c r="D11" s="496" t="s">
        <v>3650</v>
      </c>
      <c r="E11" s="496" t="s">
        <v>3651</v>
      </c>
      <c r="F11" s="496" t="s">
        <v>1800</v>
      </c>
    </row>
    <row r="12" spans="1:11" ht="33.75">
      <c r="A12" s="1410" t="s">
        <v>1801</v>
      </c>
      <c r="B12" s="1410" t="s">
        <v>1802</v>
      </c>
      <c r="C12" s="498" t="s">
        <v>1803</v>
      </c>
      <c r="D12" s="1410" t="s">
        <v>1804</v>
      </c>
      <c r="E12" s="499" t="s">
        <v>1805</v>
      </c>
      <c r="F12" s="498"/>
    </row>
    <row r="13" spans="1:11">
      <c r="A13" s="1411"/>
      <c r="B13" s="1411"/>
      <c r="C13" s="500"/>
      <c r="D13" s="1411"/>
      <c r="E13" s="500" t="s">
        <v>1806</v>
      </c>
      <c r="F13" s="500"/>
    </row>
    <row r="14" spans="1:11" ht="45">
      <c r="A14" s="1411"/>
      <c r="B14" s="1411"/>
      <c r="C14" s="500" t="s">
        <v>1807</v>
      </c>
      <c r="D14" s="1411"/>
      <c r="E14" s="500" t="s">
        <v>1808</v>
      </c>
      <c r="F14" s="500" t="s">
        <v>3652</v>
      </c>
    </row>
    <row r="15" spans="1:11" ht="67.5">
      <c r="A15" s="1411"/>
      <c r="B15" s="1411"/>
      <c r="C15" s="500" t="s">
        <v>3653</v>
      </c>
      <c r="D15" s="1411"/>
      <c r="E15" s="500" t="s">
        <v>3654</v>
      </c>
      <c r="F15" s="500" t="s">
        <v>3655</v>
      </c>
    </row>
    <row r="16" spans="1:11">
      <c r="A16" s="1411"/>
      <c r="B16" s="1411"/>
      <c r="C16" s="500" t="s">
        <v>3656</v>
      </c>
      <c r="D16" s="1411"/>
      <c r="E16" s="501" t="s">
        <v>576</v>
      </c>
      <c r="F16" s="500" t="s">
        <v>577</v>
      </c>
    </row>
    <row r="17" spans="1:6">
      <c r="A17" s="1411"/>
      <c r="B17" s="1411"/>
      <c r="C17" s="500" t="s">
        <v>3658</v>
      </c>
      <c r="D17" s="1411"/>
      <c r="E17" s="500" t="s">
        <v>3659</v>
      </c>
      <c r="F17" s="500" t="s">
        <v>3657</v>
      </c>
    </row>
    <row r="18" spans="1:6">
      <c r="A18" s="1411"/>
      <c r="B18" s="1411"/>
      <c r="C18" s="500" t="s">
        <v>3660</v>
      </c>
      <c r="D18" s="1411"/>
      <c r="E18" s="500" t="s">
        <v>3661</v>
      </c>
      <c r="F18" s="500" t="s">
        <v>3657</v>
      </c>
    </row>
    <row r="19" spans="1:6">
      <c r="A19" s="1411"/>
      <c r="B19" s="1411"/>
      <c r="C19" s="500" t="s">
        <v>3662</v>
      </c>
      <c r="D19" s="1411"/>
      <c r="E19" s="500"/>
      <c r="F19" s="500"/>
    </row>
    <row r="20" spans="1:6" ht="22.5">
      <c r="A20" s="1411"/>
      <c r="B20" s="1411"/>
      <c r="C20" s="500" t="s">
        <v>3663</v>
      </c>
      <c r="D20" s="1411"/>
      <c r="E20" s="500"/>
      <c r="F20" s="500"/>
    </row>
    <row r="21" spans="1:6">
      <c r="A21" s="1411"/>
      <c r="B21" s="1411"/>
      <c r="C21" s="500" t="s">
        <v>3664</v>
      </c>
      <c r="D21" s="1411"/>
      <c r="E21" s="500" t="s">
        <v>3665</v>
      </c>
      <c r="F21" s="500" t="s">
        <v>3657</v>
      </c>
    </row>
    <row r="22" spans="1:6">
      <c r="A22" s="1411"/>
      <c r="B22" s="1411"/>
      <c r="C22" s="500" t="s">
        <v>3666</v>
      </c>
      <c r="D22" s="1411"/>
      <c r="E22" s="500"/>
      <c r="F22" s="502"/>
    </row>
    <row r="23" spans="1:6" ht="33.75">
      <c r="A23" s="1411"/>
      <c r="B23" s="1411"/>
      <c r="C23" s="500" t="s">
        <v>2394</v>
      </c>
      <c r="D23" s="1411"/>
      <c r="E23" s="500" t="s">
        <v>2395</v>
      </c>
      <c r="F23" s="500" t="s">
        <v>2396</v>
      </c>
    </row>
    <row r="24" spans="1:6">
      <c r="A24" s="1411"/>
      <c r="B24" s="1411"/>
      <c r="C24" s="500" t="s">
        <v>2397</v>
      </c>
      <c r="D24" s="1411"/>
      <c r="E24" s="503"/>
      <c r="F24" s="502"/>
    </row>
    <row r="25" spans="1:6">
      <c r="A25" s="1411"/>
      <c r="B25" s="1411"/>
      <c r="C25" s="500" t="s">
        <v>2398</v>
      </c>
      <c r="D25" s="1411"/>
      <c r="E25" s="503"/>
      <c r="F25" s="500"/>
    </row>
    <row r="26" spans="1:6">
      <c r="A26" s="1411"/>
      <c r="B26" s="1411"/>
      <c r="C26" s="500" t="s">
        <v>2399</v>
      </c>
      <c r="D26" s="1411"/>
      <c r="E26" s="503"/>
      <c r="F26" s="500"/>
    </row>
    <row r="27" spans="1:6">
      <c r="A27" s="1411"/>
      <c r="B27" s="1411"/>
      <c r="C27" s="500" t="s">
        <v>2400</v>
      </c>
      <c r="D27" s="1411"/>
      <c r="E27" s="503"/>
      <c r="F27" s="502"/>
    </row>
    <row r="28" spans="1:6" ht="22.5">
      <c r="A28" s="1411"/>
      <c r="B28" s="1411"/>
      <c r="C28" s="500" t="s">
        <v>2401</v>
      </c>
      <c r="D28" s="1411"/>
      <c r="E28" s="503"/>
      <c r="F28" s="503"/>
    </row>
    <row r="29" spans="1:6">
      <c r="A29" s="1411"/>
      <c r="B29" s="1411"/>
      <c r="C29" s="500" t="s">
        <v>2402</v>
      </c>
      <c r="D29" s="1411"/>
      <c r="E29" s="503"/>
      <c r="F29" s="503"/>
    </row>
    <row r="30" spans="1:6">
      <c r="A30" s="1411"/>
      <c r="B30" s="1411"/>
      <c r="C30" s="500" t="s">
        <v>2403</v>
      </c>
      <c r="D30" s="1411"/>
      <c r="E30" s="503"/>
      <c r="F30" s="503"/>
    </row>
    <row r="31" spans="1:6">
      <c r="A31" s="1411"/>
      <c r="B31" s="1411"/>
      <c r="C31" s="500" t="s">
        <v>2404</v>
      </c>
      <c r="D31" s="1411"/>
      <c r="E31" s="503"/>
      <c r="F31" s="503"/>
    </row>
    <row r="32" spans="1:6" ht="15.75" thickBot="1">
      <c r="A32" s="1411"/>
      <c r="B32" s="1411"/>
      <c r="C32" s="504"/>
      <c r="D32" s="1412"/>
      <c r="E32" s="505"/>
      <c r="F32" s="505"/>
    </row>
    <row r="33" spans="1:6" ht="34.5" thickBot="1">
      <c r="A33" s="1412"/>
      <c r="B33" s="1412"/>
      <c r="C33" s="506" t="s">
        <v>2405</v>
      </c>
      <c r="D33" s="507" t="s">
        <v>1804</v>
      </c>
      <c r="E33" s="506" t="s">
        <v>2406</v>
      </c>
      <c r="F33" s="506" t="s">
        <v>2407</v>
      </c>
    </row>
    <row r="34" spans="1:6" ht="45">
      <c r="A34" s="1410" t="s">
        <v>2408</v>
      </c>
      <c r="B34" s="1410" t="s">
        <v>2409</v>
      </c>
      <c r="C34" s="1410" t="s">
        <v>2410</v>
      </c>
      <c r="D34" s="1410" t="s">
        <v>1804</v>
      </c>
      <c r="E34" s="498" t="s">
        <v>2411</v>
      </c>
      <c r="F34" s="1410" t="s">
        <v>2407</v>
      </c>
    </row>
    <row r="35" spans="1:6" ht="45.75" thickBot="1">
      <c r="A35" s="1412"/>
      <c r="B35" s="1412"/>
      <c r="C35" s="1412"/>
      <c r="D35" s="1412"/>
      <c r="E35" s="504" t="s">
        <v>2412</v>
      </c>
      <c r="F35" s="1412"/>
    </row>
    <row r="36" spans="1:6" ht="33.75">
      <c r="A36" s="1410" t="s">
        <v>2413</v>
      </c>
      <c r="B36" s="1410" t="s">
        <v>2414</v>
      </c>
      <c r="C36" s="1410" t="s">
        <v>2415</v>
      </c>
      <c r="D36" s="1410" t="s">
        <v>1804</v>
      </c>
      <c r="E36" s="498" t="s">
        <v>2416</v>
      </c>
      <c r="F36" s="498" t="s">
        <v>2417</v>
      </c>
    </row>
    <row r="37" spans="1:6" ht="15.75" thickBot="1">
      <c r="A37" s="1411"/>
      <c r="B37" s="1411"/>
      <c r="C37" s="1412"/>
      <c r="D37" s="1412"/>
      <c r="E37" s="505"/>
      <c r="F37" s="504"/>
    </row>
    <row r="38" spans="1:6" ht="33.75">
      <c r="A38" s="1411"/>
      <c r="B38" s="1411"/>
      <c r="C38" s="1410" t="s">
        <v>2418</v>
      </c>
      <c r="D38" s="1410" t="s">
        <v>2419</v>
      </c>
      <c r="E38" s="1413" t="s">
        <v>2420</v>
      </c>
      <c r="F38" s="498" t="s">
        <v>2421</v>
      </c>
    </row>
    <row r="39" spans="1:6" ht="15.75" thickBot="1">
      <c r="A39" s="1412"/>
      <c r="B39" s="1412"/>
      <c r="C39" s="1412"/>
      <c r="D39" s="1412"/>
      <c r="E39" s="1414"/>
      <c r="F39" s="504" t="s">
        <v>2422</v>
      </c>
    </row>
    <row r="40" spans="1:6" ht="33.75">
      <c r="A40" s="1410" t="s">
        <v>2423</v>
      </c>
      <c r="B40" s="1410" t="s">
        <v>526</v>
      </c>
      <c r="C40" s="1410" t="s">
        <v>2424</v>
      </c>
      <c r="D40" s="1410" t="s">
        <v>1804</v>
      </c>
      <c r="E40" s="508" t="s">
        <v>2425</v>
      </c>
      <c r="F40" s="498" t="s">
        <v>2426</v>
      </c>
    </row>
    <row r="41" spans="1:6" ht="56.25">
      <c r="A41" s="1411"/>
      <c r="B41" s="1411"/>
      <c r="C41" s="1411"/>
      <c r="D41" s="1411"/>
      <c r="E41" s="510" t="s">
        <v>2427</v>
      </c>
      <c r="F41" s="510" t="s">
        <v>2428</v>
      </c>
    </row>
    <row r="42" spans="1:6" ht="23.25" thickBot="1">
      <c r="A42" s="1411"/>
      <c r="B42" s="1411"/>
      <c r="C42" s="1412"/>
      <c r="D42" s="1412"/>
      <c r="E42" s="509" t="s">
        <v>2429</v>
      </c>
      <c r="F42" s="509" t="s">
        <v>2430</v>
      </c>
    </row>
    <row r="43" spans="1:6" ht="33.75">
      <c r="A43" s="1411"/>
      <c r="B43" s="1411"/>
      <c r="C43" s="1410" t="s">
        <v>2431</v>
      </c>
      <c r="D43" s="1410" t="s">
        <v>1804</v>
      </c>
      <c r="E43" s="508" t="s">
        <v>2432</v>
      </c>
      <c r="F43" s="498" t="s">
        <v>2433</v>
      </c>
    </row>
    <row r="44" spans="1:6" ht="56.25">
      <c r="A44" s="1411"/>
      <c r="B44" s="1411"/>
      <c r="C44" s="1411"/>
      <c r="D44" s="1411"/>
      <c r="E44" s="510" t="s">
        <v>2434</v>
      </c>
      <c r="F44" s="510" t="s">
        <v>2435</v>
      </c>
    </row>
    <row r="45" spans="1:6" ht="33.75">
      <c r="A45" s="1411"/>
      <c r="B45" s="1411"/>
      <c r="C45" s="1411"/>
      <c r="D45" s="1411"/>
      <c r="E45" s="510" t="s">
        <v>2436</v>
      </c>
      <c r="F45" s="510" t="s">
        <v>2430</v>
      </c>
    </row>
    <row r="46" spans="1:6" ht="23.25" thickBot="1">
      <c r="A46" s="1411"/>
      <c r="B46" s="1411"/>
      <c r="C46" s="1412"/>
      <c r="D46" s="1412"/>
      <c r="E46" s="509" t="s">
        <v>2437</v>
      </c>
      <c r="F46" s="505"/>
    </row>
    <row r="47" spans="1:6" ht="33.75">
      <c r="A47" s="1411"/>
      <c r="B47" s="1411"/>
      <c r="C47" s="1410" t="s">
        <v>2438</v>
      </c>
      <c r="D47" s="1410" t="s">
        <v>1804</v>
      </c>
      <c r="E47" s="511" t="s">
        <v>2439</v>
      </c>
      <c r="F47" s="498" t="s">
        <v>2440</v>
      </c>
    </row>
    <row r="48" spans="1:6" ht="33.75">
      <c r="A48" s="1411"/>
      <c r="B48" s="1411"/>
      <c r="C48" s="1411"/>
      <c r="D48" s="1411"/>
      <c r="E48" s="512" t="s">
        <v>2441</v>
      </c>
      <c r="F48" s="510" t="s">
        <v>2442</v>
      </c>
    </row>
    <row r="49" spans="1:6" ht="33.75">
      <c r="A49" s="1411"/>
      <c r="B49" s="1411"/>
      <c r="C49" s="1411"/>
      <c r="D49" s="1411"/>
      <c r="E49" s="512" t="s">
        <v>2443</v>
      </c>
      <c r="F49" s="510" t="s">
        <v>2444</v>
      </c>
    </row>
    <row r="50" spans="1:6" ht="56.25">
      <c r="A50" s="1411"/>
      <c r="B50" s="1411"/>
      <c r="C50" s="1411"/>
      <c r="D50" s="1411"/>
      <c r="E50" s="512" t="s">
        <v>2445</v>
      </c>
      <c r="F50" s="510" t="s">
        <v>2446</v>
      </c>
    </row>
    <row r="51" spans="1:6" ht="22.5">
      <c r="A51" s="1411"/>
      <c r="B51" s="1411"/>
      <c r="C51" s="1411"/>
      <c r="D51" s="1411"/>
      <c r="E51" s="512" t="s">
        <v>2447</v>
      </c>
      <c r="F51" s="510" t="s">
        <v>2448</v>
      </c>
    </row>
    <row r="52" spans="1:6" ht="22.5">
      <c r="A52" s="1411"/>
      <c r="B52" s="1411"/>
      <c r="C52" s="1411"/>
      <c r="D52" s="1411"/>
      <c r="E52" s="512" t="s">
        <v>2449</v>
      </c>
      <c r="F52" s="510" t="s">
        <v>2450</v>
      </c>
    </row>
    <row r="53" spans="1:6" ht="34.5" thickBot="1">
      <c r="A53" s="1411"/>
      <c r="B53" s="1411"/>
      <c r="C53" s="1412"/>
      <c r="D53" s="1412"/>
      <c r="E53" s="513" t="s">
        <v>2451</v>
      </c>
      <c r="F53" s="504"/>
    </row>
    <row r="54" spans="1:6" ht="33.75">
      <c r="A54" s="1411"/>
      <c r="B54" s="1411"/>
      <c r="C54" s="1410" t="s">
        <v>2452</v>
      </c>
      <c r="D54" s="1410" t="s">
        <v>1804</v>
      </c>
      <c r="E54" s="511" t="s">
        <v>2439</v>
      </c>
      <c r="F54" s="498" t="s">
        <v>2440</v>
      </c>
    </row>
    <row r="55" spans="1:6" ht="33.75">
      <c r="A55" s="1411"/>
      <c r="B55" s="1411"/>
      <c r="C55" s="1411"/>
      <c r="D55" s="1411"/>
      <c r="E55" s="512" t="s">
        <v>2441</v>
      </c>
      <c r="F55" s="510" t="s">
        <v>2442</v>
      </c>
    </row>
    <row r="56" spans="1:6" ht="33.75">
      <c r="A56" s="1411"/>
      <c r="B56" s="1411"/>
      <c r="C56" s="1411"/>
      <c r="D56" s="1411"/>
      <c r="E56" s="512" t="s">
        <v>2443</v>
      </c>
      <c r="F56" s="510" t="s">
        <v>2453</v>
      </c>
    </row>
    <row r="57" spans="1:6" ht="56.25">
      <c r="A57" s="1411"/>
      <c r="B57" s="1411"/>
      <c r="C57" s="1411"/>
      <c r="D57" s="1411"/>
      <c r="E57" s="512" t="s">
        <v>2454</v>
      </c>
      <c r="F57" s="510" t="s">
        <v>2446</v>
      </c>
    </row>
    <row r="58" spans="1:6" ht="22.5">
      <c r="A58" s="1411"/>
      <c r="B58" s="1411"/>
      <c r="C58" s="1411"/>
      <c r="D58" s="1411"/>
      <c r="E58" s="512" t="s">
        <v>2447</v>
      </c>
      <c r="F58" s="510" t="s">
        <v>2448</v>
      </c>
    </row>
    <row r="59" spans="1:6" ht="22.5">
      <c r="A59" s="1411"/>
      <c r="B59" s="1411"/>
      <c r="C59" s="1411"/>
      <c r="D59" s="1411"/>
      <c r="E59" s="512" t="s">
        <v>2449</v>
      </c>
      <c r="F59" s="510" t="s">
        <v>2455</v>
      </c>
    </row>
    <row r="60" spans="1:6" ht="34.5" thickBot="1">
      <c r="A60" s="1412"/>
      <c r="B60" s="1412"/>
      <c r="C60" s="1412"/>
      <c r="D60" s="1412"/>
      <c r="E60" s="504" t="s">
        <v>2456</v>
      </c>
      <c r="F60" s="504"/>
    </row>
    <row r="61" spans="1:6">
      <c r="A61" s="500" t="s">
        <v>2457</v>
      </c>
      <c r="B61" s="1410" t="s">
        <v>2458</v>
      </c>
      <c r="C61" s="1410" t="s">
        <v>2459</v>
      </c>
      <c r="D61" s="1410" t="s">
        <v>1804</v>
      </c>
      <c r="E61" s="1413" t="s">
        <v>2460</v>
      </c>
      <c r="F61" s="1413" t="s">
        <v>2460</v>
      </c>
    </row>
    <row r="62" spans="1:6" ht="15.75" thickBot="1">
      <c r="A62" s="504" t="s">
        <v>2461</v>
      </c>
      <c r="B62" s="1412"/>
      <c r="C62" s="1412"/>
      <c r="D62" s="1412"/>
      <c r="E62" s="1417"/>
      <c r="F62" s="1414"/>
    </row>
    <row r="63" spans="1:6" ht="33.75">
      <c r="A63" s="500" t="s">
        <v>2462</v>
      </c>
      <c r="B63" s="1410" t="s">
        <v>2463</v>
      </c>
      <c r="C63" s="1410" t="s">
        <v>2459</v>
      </c>
      <c r="D63" s="1410" t="s">
        <v>1804</v>
      </c>
      <c r="E63" s="508" t="s">
        <v>2464</v>
      </c>
      <c r="F63" s="498" t="s">
        <v>2465</v>
      </c>
    </row>
    <row r="64" spans="1:6">
      <c r="A64" s="500" t="s">
        <v>2466</v>
      </c>
      <c r="B64" s="1411"/>
      <c r="C64" s="1411"/>
      <c r="D64" s="1411"/>
      <c r="E64" s="510" t="s">
        <v>2467</v>
      </c>
      <c r="F64" s="500" t="s">
        <v>2468</v>
      </c>
    </row>
    <row r="65" spans="1:6" ht="33.75">
      <c r="A65" s="503"/>
      <c r="B65" s="1411"/>
      <c r="C65" s="1411"/>
      <c r="D65" s="1411"/>
      <c r="E65" s="510" t="s">
        <v>2469</v>
      </c>
      <c r="F65" s="510" t="s">
        <v>2470</v>
      </c>
    </row>
    <row r="66" spans="1:6" ht="45">
      <c r="A66" s="503"/>
      <c r="B66" s="1411"/>
      <c r="C66" s="1411"/>
      <c r="D66" s="1411"/>
      <c r="E66" s="510" t="s">
        <v>1431</v>
      </c>
      <c r="F66" s="510" t="s">
        <v>1432</v>
      </c>
    </row>
    <row r="67" spans="1:6">
      <c r="A67" s="503"/>
      <c r="B67" s="1411"/>
      <c r="C67" s="1411"/>
      <c r="D67" s="1411"/>
      <c r="E67" s="503"/>
      <c r="F67" s="510" t="s">
        <v>1433</v>
      </c>
    </row>
    <row r="68" spans="1:6" ht="22.5">
      <c r="A68" s="503"/>
      <c r="B68" s="1411"/>
      <c r="C68" s="1411"/>
      <c r="D68" s="1411"/>
      <c r="E68" s="503"/>
      <c r="F68" s="510" t="s">
        <v>1434</v>
      </c>
    </row>
    <row r="69" spans="1:6" ht="33.75">
      <c r="A69" s="503"/>
      <c r="B69" s="1411"/>
      <c r="C69" s="1411"/>
      <c r="D69" s="1411"/>
      <c r="E69" s="503"/>
      <c r="F69" s="510" t="s">
        <v>1435</v>
      </c>
    </row>
    <row r="70" spans="1:6" ht="45.75" thickBot="1">
      <c r="A70" s="505"/>
      <c r="B70" s="1412"/>
      <c r="C70" s="1412"/>
      <c r="D70" s="1412"/>
      <c r="E70" s="505"/>
      <c r="F70" s="504" t="s">
        <v>2496</v>
      </c>
    </row>
    <row r="71" spans="1:6" ht="33.75">
      <c r="A71" s="500" t="s">
        <v>2497</v>
      </c>
      <c r="B71" s="1410" t="s">
        <v>666</v>
      </c>
      <c r="C71" s="1410" t="s">
        <v>2498</v>
      </c>
      <c r="D71" s="1410" t="s">
        <v>1804</v>
      </c>
      <c r="E71" s="511" t="s">
        <v>2499</v>
      </c>
      <c r="F71" s="498" t="s">
        <v>2500</v>
      </c>
    </row>
    <row r="72" spans="1:6" ht="135">
      <c r="A72" s="500" t="s">
        <v>2501</v>
      </c>
      <c r="B72" s="1411"/>
      <c r="C72" s="1411"/>
      <c r="D72" s="1411"/>
      <c r="E72" s="514" t="s">
        <v>2502</v>
      </c>
      <c r="F72" s="510" t="s">
        <v>3548</v>
      </c>
    </row>
    <row r="73" spans="1:6" ht="22.5">
      <c r="A73" s="503"/>
      <c r="B73" s="1411"/>
      <c r="C73" s="1411"/>
      <c r="D73" s="1411"/>
      <c r="E73" s="514" t="s">
        <v>3549</v>
      </c>
      <c r="F73" s="503"/>
    </row>
    <row r="74" spans="1:6" ht="34.5" thickBot="1">
      <c r="A74" s="505"/>
      <c r="B74" s="1412"/>
      <c r="C74" s="1412"/>
      <c r="D74" s="1412"/>
      <c r="E74" s="513" t="s">
        <v>3550</v>
      </c>
      <c r="F74" s="505"/>
    </row>
    <row r="75" spans="1:6" ht="22.5">
      <c r="A75" s="500" t="s">
        <v>3551</v>
      </c>
      <c r="B75" s="1410" t="s">
        <v>3552</v>
      </c>
      <c r="C75" s="1410" t="s">
        <v>3553</v>
      </c>
      <c r="D75" s="1410" t="s">
        <v>1804</v>
      </c>
      <c r="E75" s="508" t="s">
        <v>3554</v>
      </c>
      <c r="F75" s="1410" t="s">
        <v>2340</v>
      </c>
    </row>
    <row r="76" spans="1:6" ht="33.75">
      <c r="A76" s="500" t="s">
        <v>2341</v>
      </c>
      <c r="B76" s="1411"/>
      <c r="C76" s="1411"/>
      <c r="D76" s="1411"/>
      <c r="E76" s="510" t="s">
        <v>2342</v>
      </c>
      <c r="F76" s="1411"/>
    </row>
    <row r="77" spans="1:6" ht="15.75" thickBot="1">
      <c r="A77" s="505"/>
      <c r="B77" s="1412"/>
      <c r="C77" s="1412"/>
      <c r="D77" s="1412"/>
      <c r="E77" s="509" t="s">
        <v>2343</v>
      </c>
      <c r="F77" s="1412"/>
    </row>
    <row r="78" spans="1:6" ht="33.75">
      <c r="A78" s="1410" t="s">
        <v>2344</v>
      </c>
      <c r="B78" s="1410" t="s">
        <v>2345</v>
      </c>
      <c r="C78" s="1410" t="s">
        <v>2346</v>
      </c>
      <c r="D78" s="1410" t="s">
        <v>1804</v>
      </c>
      <c r="E78" s="508" t="s">
        <v>2347</v>
      </c>
      <c r="F78" s="508" t="s">
        <v>2348</v>
      </c>
    </row>
    <row r="79" spans="1:6" ht="112.5">
      <c r="A79" s="1411"/>
      <c r="B79" s="1411"/>
      <c r="C79" s="1411"/>
      <c r="D79" s="1411"/>
      <c r="E79" s="510" t="s">
        <v>2349</v>
      </c>
      <c r="F79" s="510" t="s">
        <v>2350</v>
      </c>
    </row>
    <row r="80" spans="1:6" ht="78.75">
      <c r="A80" s="1411"/>
      <c r="B80" s="1411"/>
      <c r="C80" s="1411"/>
      <c r="D80" s="1411"/>
      <c r="E80" s="510" t="s">
        <v>2351</v>
      </c>
      <c r="F80" s="510" t="s">
        <v>2352</v>
      </c>
    </row>
    <row r="81" spans="1:6" ht="45.75" thickBot="1">
      <c r="A81" s="1412"/>
      <c r="B81" s="1412"/>
      <c r="C81" s="1412"/>
      <c r="D81" s="1412"/>
      <c r="E81" s="509" t="s">
        <v>2353</v>
      </c>
      <c r="F81" s="505"/>
    </row>
    <row r="82" spans="1:6" ht="33.75">
      <c r="A82" s="498" t="s">
        <v>2354</v>
      </c>
      <c r="B82" s="1410" t="s">
        <v>2355</v>
      </c>
      <c r="C82" s="1410" t="s">
        <v>2459</v>
      </c>
      <c r="D82" s="1410" t="s">
        <v>1804</v>
      </c>
      <c r="E82" s="511" t="s">
        <v>2439</v>
      </c>
      <c r="F82" s="498" t="s">
        <v>2440</v>
      </c>
    </row>
    <row r="83" spans="1:6" ht="33.75">
      <c r="A83" s="500" t="s">
        <v>2356</v>
      </c>
      <c r="B83" s="1411"/>
      <c r="C83" s="1411"/>
      <c r="D83" s="1411"/>
      <c r="E83" s="512" t="s">
        <v>2441</v>
      </c>
      <c r="F83" s="510" t="s">
        <v>2442</v>
      </c>
    </row>
    <row r="84" spans="1:6" ht="33.75">
      <c r="A84" s="503"/>
      <c r="B84" s="1411"/>
      <c r="C84" s="1411"/>
      <c r="D84" s="1411"/>
      <c r="E84" s="512" t="s">
        <v>2443</v>
      </c>
      <c r="F84" s="510" t="s">
        <v>2453</v>
      </c>
    </row>
    <row r="85" spans="1:6" ht="56.25">
      <c r="A85" s="503"/>
      <c r="B85" s="1411"/>
      <c r="C85" s="1411"/>
      <c r="D85" s="1411"/>
      <c r="E85" s="512" t="s">
        <v>2357</v>
      </c>
      <c r="F85" s="510" t="s">
        <v>2446</v>
      </c>
    </row>
    <row r="86" spans="1:6" ht="22.5">
      <c r="A86" s="503"/>
      <c r="B86" s="1411"/>
      <c r="C86" s="1411"/>
      <c r="D86" s="1411"/>
      <c r="E86" s="512" t="s">
        <v>2447</v>
      </c>
      <c r="F86" s="510" t="s">
        <v>2448</v>
      </c>
    </row>
    <row r="87" spans="1:6" ht="22.5">
      <c r="A87" s="503"/>
      <c r="B87" s="1411"/>
      <c r="C87" s="1411"/>
      <c r="D87" s="1411"/>
      <c r="E87" s="512" t="s">
        <v>2449</v>
      </c>
      <c r="F87" s="510" t="s">
        <v>2455</v>
      </c>
    </row>
    <row r="88" spans="1:6" ht="34.5" thickBot="1">
      <c r="A88" s="505"/>
      <c r="B88" s="1412"/>
      <c r="C88" s="1412"/>
      <c r="D88" s="1412"/>
      <c r="E88" s="509" t="s">
        <v>2358</v>
      </c>
      <c r="F88" s="504"/>
    </row>
    <row r="89" spans="1:6" ht="33.75">
      <c r="A89" s="498" t="s">
        <v>2359</v>
      </c>
      <c r="B89" s="1410" t="s">
        <v>1590</v>
      </c>
      <c r="C89" s="1410" t="s">
        <v>2360</v>
      </c>
      <c r="D89" s="1410" t="s">
        <v>1804</v>
      </c>
      <c r="E89" s="511" t="s">
        <v>2361</v>
      </c>
      <c r="F89" s="498" t="s">
        <v>2362</v>
      </c>
    </row>
    <row r="90" spans="1:6" ht="78.75">
      <c r="A90" s="500" t="s">
        <v>2363</v>
      </c>
      <c r="B90" s="1411"/>
      <c r="C90" s="1411"/>
      <c r="D90" s="1411"/>
      <c r="E90" s="514" t="s">
        <v>2364</v>
      </c>
      <c r="F90" s="515" t="s">
        <v>3194</v>
      </c>
    </row>
    <row r="91" spans="1:6" ht="45">
      <c r="A91" s="503"/>
      <c r="B91" s="1411"/>
      <c r="C91" s="1411"/>
      <c r="D91" s="1411"/>
      <c r="E91" s="516" t="s">
        <v>3195</v>
      </c>
      <c r="F91" s="510" t="s">
        <v>3196</v>
      </c>
    </row>
    <row r="92" spans="1:6" ht="78.75">
      <c r="A92" s="503"/>
      <c r="B92" s="1411"/>
      <c r="C92" s="1411"/>
      <c r="D92" s="1411"/>
      <c r="E92" s="514" t="s">
        <v>3197</v>
      </c>
      <c r="F92" s="510" t="s">
        <v>3198</v>
      </c>
    </row>
    <row r="93" spans="1:6" ht="33.75">
      <c r="A93" s="503"/>
      <c r="B93" s="1411"/>
      <c r="C93" s="1411"/>
      <c r="D93" s="1411"/>
      <c r="E93" s="502"/>
      <c r="F93" s="510" t="s">
        <v>3199</v>
      </c>
    </row>
    <row r="94" spans="1:6" ht="33.75">
      <c r="A94" s="503"/>
      <c r="B94" s="1411"/>
      <c r="C94" s="1411"/>
      <c r="D94" s="1411"/>
      <c r="E94" s="514"/>
      <c r="F94" s="510" t="s">
        <v>3200</v>
      </c>
    </row>
    <row r="95" spans="1:6">
      <c r="A95" s="503"/>
      <c r="B95" s="1411"/>
      <c r="C95" s="1411"/>
      <c r="D95" s="1411"/>
      <c r="E95" s="503"/>
      <c r="F95" s="514" t="s">
        <v>3201</v>
      </c>
    </row>
    <row r="96" spans="1:6" ht="22.5">
      <c r="A96" s="503"/>
      <c r="B96" s="1411"/>
      <c r="C96" s="1411"/>
      <c r="D96" s="1411"/>
      <c r="E96" s="503"/>
      <c r="F96" s="514" t="s">
        <v>3202</v>
      </c>
    </row>
    <row r="97" spans="1:6" ht="33.75">
      <c r="A97" s="503"/>
      <c r="B97" s="1411"/>
      <c r="C97" s="1411"/>
      <c r="D97" s="1411"/>
      <c r="E97" s="503"/>
      <c r="F97" s="514" t="s">
        <v>1065</v>
      </c>
    </row>
    <row r="98" spans="1:6" ht="33.75">
      <c r="A98" s="503"/>
      <c r="B98" s="1411"/>
      <c r="C98" s="1411"/>
      <c r="D98" s="1411"/>
      <c r="E98" s="503"/>
      <c r="F98" s="514" t="s">
        <v>1066</v>
      </c>
    </row>
    <row r="99" spans="1:6" ht="22.5">
      <c r="A99" s="503"/>
      <c r="B99" s="1411"/>
      <c r="C99" s="1411"/>
      <c r="D99" s="1411"/>
      <c r="E99" s="503"/>
      <c r="F99" s="514" t="s">
        <v>1067</v>
      </c>
    </row>
    <row r="100" spans="1:6" ht="36.75">
      <c r="A100" s="503"/>
      <c r="B100" s="1411"/>
      <c r="C100" s="1411"/>
      <c r="D100" s="1411"/>
      <c r="E100" s="503"/>
      <c r="F100" s="514" t="s">
        <v>626</v>
      </c>
    </row>
    <row r="101" spans="1:6">
      <c r="A101" s="503"/>
      <c r="B101" s="1411"/>
      <c r="C101" s="1411"/>
      <c r="D101" s="1411"/>
      <c r="E101" s="503"/>
      <c r="F101" s="514" t="s">
        <v>627</v>
      </c>
    </row>
    <row r="102" spans="1:6">
      <c r="A102" s="503"/>
      <c r="B102" s="1411"/>
      <c r="C102" s="1411"/>
      <c r="D102" s="1411"/>
      <c r="E102" s="503"/>
      <c r="F102" s="514"/>
    </row>
    <row r="103" spans="1:6" ht="33.75">
      <c r="A103" s="503"/>
      <c r="B103" s="1411"/>
      <c r="C103" s="1411"/>
      <c r="D103" s="1411"/>
      <c r="E103" s="503"/>
      <c r="F103" s="514" t="s">
        <v>628</v>
      </c>
    </row>
    <row r="104" spans="1:6" ht="22.5">
      <c r="A104" s="503"/>
      <c r="B104" s="1411"/>
      <c r="C104" s="1411"/>
      <c r="D104" s="1411"/>
      <c r="E104" s="503"/>
      <c r="F104" s="514" t="s">
        <v>629</v>
      </c>
    </row>
    <row r="105" spans="1:6">
      <c r="A105" s="503"/>
      <c r="B105" s="1411"/>
      <c r="C105" s="1411"/>
      <c r="D105" s="1411"/>
      <c r="E105" s="503"/>
      <c r="F105" s="514" t="s">
        <v>630</v>
      </c>
    </row>
    <row r="106" spans="1:6" ht="33.75">
      <c r="A106" s="503"/>
      <c r="B106" s="1411"/>
      <c r="C106" s="1411"/>
      <c r="D106" s="1411"/>
      <c r="E106" s="503"/>
      <c r="F106" s="516" t="s">
        <v>631</v>
      </c>
    </row>
    <row r="107" spans="1:6" ht="22.5">
      <c r="A107" s="503"/>
      <c r="B107" s="1411"/>
      <c r="C107" s="1411"/>
      <c r="D107" s="1411"/>
      <c r="E107" s="503"/>
      <c r="F107" s="516" t="s">
        <v>632</v>
      </c>
    </row>
    <row r="108" spans="1:6">
      <c r="A108" s="503"/>
      <c r="B108" s="1411"/>
      <c r="C108" s="1411"/>
      <c r="D108" s="1411"/>
      <c r="E108" s="503"/>
      <c r="F108" s="514" t="s">
        <v>633</v>
      </c>
    </row>
    <row r="109" spans="1:6">
      <c r="A109" s="503"/>
      <c r="B109" s="1411"/>
      <c r="C109" s="1411"/>
      <c r="D109" s="1411"/>
      <c r="E109" s="503"/>
      <c r="F109" s="514" t="s">
        <v>634</v>
      </c>
    </row>
    <row r="110" spans="1:6" ht="22.5">
      <c r="A110" s="503"/>
      <c r="B110" s="1411"/>
      <c r="C110" s="1411"/>
      <c r="D110" s="1411"/>
      <c r="E110" s="503"/>
      <c r="F110" s="514" t="s">
        <v>635</v>
      </c>
    </row>
    <row r="111" spans="1:6" ht="23.25" thickBot="1">
      <c r="A111" s="505"/>
      <c r="B111" s="1412"/>
      <c r="C111" s="1412"/>
      <c r="D111" s="1412"/>
      <c r="E111" s="505"/>
      <c r="F111" s="517" t="s">
        <v>636</v>
      </c>
    </row>
    <row r="112" spans="1:6">
      <c r="A112" s="498" t="s">
        <v>637</v>
      </c>
      <c r="B112" s="1410" t="s">
        <v>638</v>
      </c>
      <c r="C112" s="1410" t="s">
        <v>639</v>
      </c>
      <c r="D112" s="1410" t="s">
        <v>1804</v>
      </c>
      <c r="E112" s="508" t="s">
        <v>640</v>
      </c>
      <c r="F112" s="1410" t="s">
        <v>641</v>
      </c>
    </row>
    <row r="113" spans="1:6" ht="22.5">
      <c r="A113" s="500" t="s">
        <v>642</v>
      </c>
      <c r="B113" s="1411"/>
      <c r="C113" s="1411"/>
      <c r="D113" s="1411"/>
      <c r="E113" s="510" t="s">
        <v>643</v>
      </c>
      <c r="F113" s="1411"/>
    </row>
    <row r="114" spans="1:6" ht="23.25" thickBot="1">
      <c r="A114" s="505"/>
      <c r="B114" s="1412"/>
      <c r="C114" s="1412"/>
      <c r="D114" s="1412"/>
      <c r="E114" s="509" t="s">
        <v>644</v>
      </c>
      <c r="F114" s="1412"/>
    </row>
    <row r="115" spans="1:6" ht="22.5">
      <c r="A115" s="498" t="s">
        <v>645</v>
      </c>
      <c r="B115" s="1410" t="s">
        <v>646</v>
      </c>
      <c r="C115" s="1410" t="s">
        <v>647</v>
      </c>
      <c r="D115" s="1410" t="s">
        <v>1804</v>
      </c>
      <c r="E115" s="508" t="s">
        <v>648</v>
      </c>
      <c r="F115" s="511" t="s">
        <v>649</v>
      </c>
    </row>
    <row r="116" spans="1:6" ht="33.75">
      <c r="A116" s="500" t="s">
        <v>650</v>
      </c>
      <c r="B116" s="1411"/>
      <c r="C116" s="1411"/>
      <c r="D116" s="1411"/>
      <c r="E116" s="510" t="s">
        <v>651</v>
      </c>
      <c r="F116" s="516" t="s">
        <v>652</v>
      </c>
    </row>
    <row r="117" spans="1:6" ht="33.75">
      <c r="A117" s="503"/>
      <c r="B117" s="1411"/>
      <c r="C117" s="1411"/>
      <c r="D117" s="1411"/>
      <c r="E117" s="510" t="s">
        <v>653</v>
      </c>
      <c r="F117" s="516" t="s">
        <v>654</v>
      </c>
    </row>
    <row r="118" spans="1:6" ht="33.75">
      <c r="A118" s="503"/>
      <c r="B118" s="1411"/>
      <c r="C118" s="1411"/>
      <c r="D118" s="1411"/>
      <c r="E118" s="510" t="s">
        <v>655</v>
      </c>
      <c r="F118" s="516" t="s">
        <v>3315</v>
      </c>
    </row>
    <row r="119" spans="1:6" ht="33.75">
      <c r="A119" s="503"/>
      <c r="B119" s="1411"/>
      <c r="C119" s="1411"/>
      <c r="D119" s="1411"/>
      <c r="E119" s="510" t="s">
        <v>3316</v>
      </c>
      <c r="F119" s="516" t="s">
        <v>3317</v>
      </c>
    </row>
    <row r="120" spans="1:6" ht="22.5">
      <c r="A120" s="503"/>
      <c r="B120" s="1411"/>
      <c r="C120" s="1411"/>
      <c r="D120" s="1411"/>
      <c r="E120" s="510" t="s">
        <v>3318</v>
      </c>
      <c r="F120" s="518" t="s">
        <v>3319</v>
      </c>
    </row>
    <row r="121" spans="1:6" ht="45">
      <c r="A121" s="503"/>
      <c r="B121" s="1411"/>
      <c r="C121" s="1411"/>
      <c r="D121" s="1411"/>
      <c r="E121" s="510" t="s">
        <v>3320</v>
      </c>
      <c r="F121" s="518" t="s">
        <v>3321</v>
      </c>
    </row>
    <row r="122" spans="1:6" ht="33.75">
      <c r="A122" s="503"/>
      <c r="B122" s="1411"/>
      <c r="C122" s="1411"/>
      <c r="D122" s="1411"/>
      <c r="E122" s="503"/>
      <c r="F122" s="518" t="s">
        <v>3322</v>
      </c>
    </row>
    <row r="123" spans="1:6">
      <c r="A123" s="503"/>
      <c r="B123" s="1411"/>
      <c r="C123" s="1411"/>
      <c r="D123" s="1411"/>
      <c r="E123" s="503"/>
      <c r="F123" s="518" t="s">
        <v>3323</v>
      </c>
    </row>
    <row r="124" spans="1:6" ht="33.75">
      <c r="A124" s="503"/>
      <c r="B124" s="1411"/>
      <c r="C124" s="1411"/>
      <c r="D124" s="1411"/>
      <c r="E124" s="503"/>
      <c r="F124" s="519" t="s">
        <v>3324</v>
      </c>
    </row>
    <row r="125" spans="1:6" ht="33.75">
      <c r="A125" s="503"/>
      <c r="B125" s="1411"/>
      <c r="C125" s="1411"/>
      <c r="D125" s="1411"/>
      <c r="E125" s="503"/>
      <c r="F125" s="519" t="s">
        <v>3325</v>
      </c>
    </row>
    <row r="126" spans="1:6" ht="33.75">
      <c r="A126" s="503"/>
      <c r="B126" s="1411"/>
      <c r="C126" s="1411"/>
      <c r="D126" s="1411"/>
      <c r="E126" s="503"/>
      <c r="F126" s="519" t="s">
        <v>3326</v>
      </c>
    </row>
    <row r="127" spans="1:6" ht="33.75">
      <c r="A127" s="503"/>
      <c r="B127" s="1411"/>
      <c r="C127" s="1411"/>
      <c r="D127" s="1411"/>
      <c r="E127" s="503"/>
      <c r="F127" s="514" t="s">
        <v>3327</v>
      </c>
    </row>
    <row r="128" spans="1:6" ht="22.5">
      <c r="A128" s="503"/>
      <c r="B128" s="1411"/>
      <c r="C128" s="1411"/>
      <c r="D128" s="1411"/>
      <c r="E128" s="503"/>
      <c r="F128" s="514" t="s">
        <v>3328</v>
      </c>
    </row>
    <row r="129" spans="1:6">
      <c r="A129" s="503"/>
      <c r="B129" s="1411"/>
      <c r="C129" s="1411"/>
      <c r="D129" s="1411"/>
      <c r="E129" s="503"/>
      <c r="F129" s="514" t="s">
        <v>3329</v>
      </c>
    </row>
    <row r="130" spans="1:6">
      <c r="A130" s="503"/>
      <c r="B130" s="1411"/>
      <c r="C130" s="1411"/>
      <c r="D130" s="1411"/>
      <c r="E130" s="503"/>
      <c r="F130" s="514" t="s">
        <v>3330</v>
      </c>
    </row>
    <row r="131" spans="1:6" ht="22.5">
      <c r="A131" s="503"/>
      <c r="B131" s="1411"/>
      <c r="C131" s="1411"/>
      <c r="D131" s="1411"/>
      <c r="E131" s="503"/>
      <c r="F131" s="514" t="s">
        <v>3331</v>
      </c>
    </row>
    <row r="132" spans="1:6">
      <c r="A132" s="503"/>
      <c r="B132" s="1411"/>
      <c r="C132" s="1411"/>
      <c r="D132" s="1411"/>
      <c r="E132" s="503"/>
      <c r="F132" s="514" t="s">
        <v>3332</v>
      </c>
    </row>
    <row r="133" spans="1:6" ht="15.75" thickBot="1">
      <c r="A133" s="503"/>
      <c r="B133" s="1411"/>
      <c r="C133" s="1412"/>
      <c r="D133" s="1412"/>
      <c r="E133" s="505"/>
      <c r="F133" s="504"/>
    </row>
    <row r="134" spans="1:6" ht="33.75">
      <c r="A134" s="503"/>
      <c r="B134" s="1411"/>
      <c r="C134" s="1410"/>
      <c r="D134" s="1410"/>
      <c r="E134" s="1410"/>
      <c r="F134" s="511" t="s">
        <v>3333</v>
      </c>
    </row>
    <row r="135" spans="1:6" ht="56.25">
      <c r="A135" s="503"/>
      <c r="B135" s="1411"/>
      <c r="C135" s="1411"/>
      <c r="D135" s="1411"/>
      <c r="E135" s="1411"/>
      <c r="F135" s="514" t="s">
        <v>2967</v>
      </c>
    </row>
    <row r="136" spans="1:6">
      <c r="A136" s="503"/>
      <c r="B136" s="1411"/>
      <c r="C136" s="1411"/>
      <c r="D136" s="1411"/>
      <c r="E136" s="1411"/>
      <c r="F136" s="516" t="s">
        <v>2968</v>
      </c>
    </row>
    <row r="137" spans="1:6">
      <c r="A137" s="503"/>
      <c r="B137" s="1411"/>
      <c r="C137" s="1411"/>
      <c r="D137" s="1411"/>
      <c r="E137" s="1411"/>
      <c r="F137" s="516" t="s">
        <v>2969</v>
      </c>
    </row>
    <row r="138" spans="1:6" ht="33.75">
      <c r="A138" s="503"/>
      <c r="B138" s="1411"/>
      <c r="C138" s="1411"/>
      <c r="D138" s="1411"/>
      <c r="E138" s="1411"/>
      <c r="F138" s="516" t="s">
        <v>2970</v>
      </c>
    </row>
    <row r="139" spans="1:6" ht="33.75">
      <c r="A139" s="503"/>
      <c r="B139" s="1411"/>
      <c r="C139" s="1411"/>
      <c r="D139" s="1411"/>
      <c r="E139" s="1411"/>
      <c r="F139" s="516" t="s">
        <v>2971</v>
      </c>
    </row>
    <row r="140" spans="1:6" ht="33.75">
      <c r="A140" s="503"/>
      <c r="B140" s="1411"/>
      <c r="C140" s="1411"/>
      <c r="D140" s="1411"/>
      <c r="E140" s="1411"/>
      <c r="F140" s="514" t="s">
        <v>2972</v>
      </c>
    </row>
    <row r="141" spans="1:6" ht="22.5">
      <c r="A141" s="503"/>
      <c r="B141" s="1411"/>
      <c r="C141" s="1411"/>
      <c r="D141" s="1411"/>
      <c r="E141" s="1411"/>
      <c r="F141" s="514" t="s">
        <v>2973</v>
      </c>
    </row>
    <row r="142" spans="1:6">
      <c r="A142" s="503"/>
      <c r="B142" s="1411"/>
      <c r="C142" s="1411"/>
      <c r="D142" s="1411"/>
      <c r="E142" s="1411"/>
      <c r="F142" s="514" t="s">
        <v>2974</v>
      </c>
    </row>
    <row r="143" spans="1:6">
      <c r="A143" s="503"/>
      <c r="B143" s="1411"/>
      <c r="C143" s="1411"/>
      <c r="D143" s="1411"/>
      <c r="E143" s="1411"/>
      <c r="F143" s="514" t="s">
        <v>2975</v>
      </c>
    </row>
    <row r="144" spans="1:6" ht="22.5">
      <c r="A144" s="503"/>
      <c r="B144" s="1411"/>
      <c r="C144" s="1411"/>
      <c r="D144" s="1411"/>
      <c r="E144" s="1411"/>
      <c r="F144" s="514" t="s">
        <v>2976</v>
      </c>
    </row>
    <row r="145" spans="1:6" ht="22.5">
      <c r="A145" s="503"/>
      <c r="B145" s="1411"/>
      <c r="C145" s="1411"/>
      <c r="D145" s="1411"/>
      <c r="E145" s="1411"/>
      <c r="F145" s="514" t="s">
        <v>2977</v>
      </c>
    </row>
    <row r="146" spans="1:6" ht="22.5">
      <c r="A146" s="503"/>
      <c r="B146" s="1411"/>
      <c r="C146" s="1411"/>
      <c r="D146" s="1411"/>
      <c r="E146" s="1411"/>
      <c r="F146" s="514" t="s">
        <v>2978</v>
      </c>
    </row>
    <row r="147" spans="1:6">
      <c r="A147" s="503"/>
      <c r="B147" s="1411"/>
      <c r="C147" s="1411"/>
      <c r="D147" s="1411"/>
      <c r="E147" s="1411"/>
      <c r="F147" s="514" t="s">
        <v>2979</v>
      </c>
    </row>
    <row r="148" spans="1:6" ht="45">
      <c r="A148" s="503"/>
      <c r="B148" s="1411"/>
      <c r="C148" s="1411"/>
      <c r="D148" s="1411"/>
      <c r="E148" s="1411"/>
      <c r="F148" s="516" t="s">
        <v>2980</v>
      </c>
    </row>
    <row r="149" spans="1:6">
      <c r="A149" s="503"/>
      <c r="B149" s="1411"/>
      <c r="C149" s="1411"/>
      <c r="D149" s="1411"/>
      <c r="E149" s="1411"/>
      <c r="F149" s="514" t="s">
        <v>2981</v>
      </c>
    </row>
    <row r="150" spans="1:6" ht="22.5">
      <c r="A150" s="503"/>
      <c r="B150" s="1411"/>
      <c r="C150" s="1411"/>
      <c r="D150" s="1411"/>
      <c r="E150" s="1411"/>
      <c r="F150" s="514" t="s">
        <v>2982</v>
      </c>
    </row>
    <row r="151" spans="1:6" ht="22.5">
      <c r="A151" s="503"/>
      <c r="B151" s="1411"/>
      <c r="C151" s="1411"/>
      <c r="D151" s="1411"/>
      <c r="E151" s="1411"/>
      <c r="F151" s="514" t="s">
        <v>2983</v>
      </c>
    </row>
    <row r="152" spans="1:6" ht="15.75" thickBot="1">
      <c r="A152" s="503"/>
      <c r="B152" s="1411"/>
      <c r="C152" s="1412"/>
      <c r="D152" s="1412"/>
      <c r="E152" s="1412"/>
      <c r="F152" s="504"/>
    </row>
    <row r="153" spans="1:6" ht="45.75" thickBot="1">
      <c r="A153" s="520"/>
      <c r="B153" s="504"/>
      <c r="C153" s="506" t="s">
        <v>2984</v>
      </c>
      <c r="D153" s="506" t="s">
        <v>1804</v>
      </c>
      <c r="E153" s="521" t="s">
        <v>2985</v>
      </c>
      <c r="F153" s="521" t="s">
        <v>2986</v>
      </c>
    </row>
    <row r="154" spans="1:6">
      <c r="A154" s="498" t="s">
        <v>2987</v>
      </c>
      <c r="B154" s="1410" t="s">
        <v>2988</v>
      </c>
      <c r="C154" s="1410" t="s">
        <v>2459</v>
      </c>
      <c r="D154" s="1415" t="s">
        <v>1804</v>
      </c>
      <c r="E154" s="508" t="s">
        <v>2989</v>
      </c>
      <c r="F154" s="1413" t="s">
        <v>2990</v>
      </c>
    </row>
    <row r="155" spans="1:6" ht="15.75" thickBot="1">
      <c r="A155" s="504" t="s">
        <v>2991</v>
      </c>
      <c r="B155" s="1412"/>
      <c r="C155" s="1412"/>
      <c r="D155" s="1416"/>
      <c r="E155" s="509"/>
      <c r="F155" s="1414"/>
    </row>
    <row r="156" spans="1:6" ht="45">
      <c r="A156" s="500" t="s">
        <v>2992</v>
      </c>
      <c r="B156" s="1410" t="s">
        <v>2993</v>
      </c>
      <c r="C156" s="1410" t="s">
        <v>2994</v>
      </c>
      <c r="D156" s="1410" t="s">
        <v>1804</v>
      </c>
      <c r="E156" s="511" t="s">
        <v>3458</v>
      </c>
      <c r="F156" s="508" t="s">
        <v>3459</v>
      </c>
    </row>
    <row r="157" spans="1:6" ht="33.75">
      <c r="A157" s="500" t="s">
        <v>3460</v>
      </c>
      <c r="B157" s="1411"/>
      <c r="C157" s="1411"/>
      <c r="D157" s="1411"/>
      <c r="E157" s="514" t="s">
        <v>3461</v>
      </c>
      <c r="F157" s="510" t="s">
        <v>3462</v>
      </c>
    </row>
    <row r="158" spans="1:6" ht="33.75">
      <c r="A158" s="503"/>
      <c r="B158" s="1411"/>
      <c r="C158" s="1411"/>
      <c r="D158" s="1411"/>
      <c r="E158" s="514" t="s">
        <v>3463</v>
      </c>
      <c r="F158" s="510" t="s">
        <v>3464</v>
      </c>
    </row>
    <row r="159" spans="1:6" ht="56.25">
      <c r="A159" s="503"/>
      <c r="B159" s="1411"/>
      <c r="C159" s="1411"/>
      <c r="D159" s="1411"/>
      <c r="E159" s="514" t="s">
        <v>3465</v>
      </c>
      <c r="F159" s="503"/>
    </row>
    <row r="160" spans="1:6" ht="23.25" thickBot="1">
      <c r="A160" s="505"/>
      <c r="B160" s="1412"/>
      <c r="C160" s="1412"/>
      <c r="D160" s="1412"/>
      <c r="E160" s="513" t="s">
        <v>3466</v>
      </c>
      <c r="F160" s="505"/>
    </row>
    <row r="161" spans="1:6" ht="24.75" customHeight="1">
      <c r="A161" s="498" t="s">
        <v>3467</v>
      </c>
      <c r="B161" s="1410" t="s">
        <v>3468</v>
      </c>
      <c r="C161" s="1410" t="s">
        <v>3469</v>
      </c>
      <c r="D161" s="1415" t="s">
        <v>1804</v>
      </c>
      <c r="E161" s="1410" t="s">
        <v>2471</v>
      </c>
      <c r="F161" s="1410" t="s">
        <v>55</v>
      </c>
    </row>
    <row r="162" spans="1:6" ht="22.5" customHeight="1" thickBot="1">
      <c r="A162" s="504" t="s">
        <v>2472</v>
      </c>
      <c r="B162" s="1412"/>
      <c r="C162" s="1412"/>
      <c r="D162" s="1416"/>
      <c r="E162" s="1412"/>
      <c r="F162" s="1412"/>
    </row>
  </sheetData>
  <mergeCells count="78">
    <mergeCell ref="A9:F9"/>
    <mergeCell ref="B7:F7"/>
    <mergeCell ref="A1:F1"/>
    <mergeCell ref="A2:F2"/>
    <mergeCell ref="A4:F4"/>
    <mergeCell ref="A5:F5"/>
    <mergeCell ref="A12:A33"/>
    <mergeCell ref="B12:B33"/>
    <mergeCell ref="D12:D32"/>
    <mergeCell ref="D36:D37"/>
    <mergeCell ref="A36:A39"/>
    <mergeCell ref="B36:B39"/>
    <mergeCell ref="C36:C37"/>
    <mergeCell ref="C38:C39"/>
    <mergeCell ref="D34:D35"/>
    <mergeCell ref="A34:A35"/>
    <mergeCell ref="B34:B35"/>
    <mergeCell ref="C34:C35"/>
    <mergeCell ref="F75:F77"/>
    <mergeCell ref="E61:E62"/>
    <mergeCell ref="B71:B74"/>
    <mergeCell ref="C71:C74"/>
    <mergeCell ref="D71:D74"/>
    <mergeCell ref="F61:F62"/>
    <mergeCell ref="B63:B70"/>
    <mergeCell ref="B61:B62"/>
    <mergeCell ref="D61:D62"/>
    <mergeCell ref="D63:D70"/>
    <mergeCell ref="B75:B77"/>
    <mergeCell ref="F34:F35"/>
    <mergeCell ref="D47:D53"/>
    <mergeCell ref="E38:E39"/>
    <mergeCell ref="C43:C46"/>
    <mergeCell ref="D43:D46"/>
    <mergeCell ref="C47:C53"/>
    <mergeCell ref="D38:D39"/>
    <mergeCell ref="B40:B60"/>
    <mergeCell ref="C40:C42"/>
    <mergeCell ref="D40:D42"/>
    <mergeCell ref="C75:C77"/>
    <mergeCell ref="C61:C62"/>
    <mergeCell ref="C54:C60"/>
    <mergeCell ref="F161:F162"/>
    <mergeCell ref="C134:C152"/>
    <mergeCell ref="D134:D152"/>
    <mergeCell ref="E134:E152"/>
    <mergeCell ref="A40:A60"/>
    <mergeCell ref="B89:B111"/>
    <mergeCell ref="C89:C111"/>
    <mergeCell ref="D89:D111"/>
    <mergeCell ref="D75:D77"/>
    <mergeCell ref="B82:B88"/>
    <mergeCell ref="A78:A81"/>
    <mergeCell ref="B78:B81"/>
    <mergeCell ref="C78:C81"/>
    <mergeCell ref="D78:D81"/>
    <mergeCell ref="D54:D60"/>
    <mergeCell ref="C63:C70"/>
    <mergeCell ref="D82:D88"/>
    <mergeCell ref="E161:E162"/>
    <mergeCell ref="B161:B162"/>
    <mergeCell ref="C161:C162"/>
    <mergeCell ref="D161:D162"/>
    <mergeCell ref="B156:B160"/>
    <mergeCell ref="C156:C160"/>
    <mergeCell ref="D156:D160"/>
    <mergeCell ref="C82:C88"/>
    <mergeCell ref="B112:B114"/>
    <mergeCell ref="B115:B152"/>
    <mergeCell ref="C115:C133"/>
    <mergeCell ref="D115:D133"/>
    <mergeCell ref="B154:B155"/>
    <mergeCell ref="F112:F114"/>
    <mergeCell ref="F154:F155"/>
    <mergeCell ref="C112:C114"/>
    <mergeCell ref="D112:D114"/>
    <mergeCell ref="C154:C155"/>
    <mergeCell ref="D154:D155"/>
  </mergeCells>
  <phoneticPr fontId="34" type="noConversion"/>
  <printOptions horizontalCentered="1"/>
  <pageMargins left="0.39370078740157483" right="0.39370078740157483" top="0.59055118110236227" bottom="0.39370078740157483" header="0" footer="0"/>
  <pageSetup paperSize="9" scale="61" fitToHeight="8" orientation="landscape" r:id="rId1"/>
  <headerFooter>
    <oddFooter>&amp;R&amp;P</oddFooter>
  </headerFooter>
  <rowBreaks count="4" manualBreakCount="4">
    <brk id="35" max="5" man="1"/>
    <brk id="53" max="5" man="1"/>
    <brk id="70" max="5" man="1"/>
    <brk id="81" max="5" man="1"/>
  </rowBreaks>
</worksheet>
</file>

<file path=xl/worksheets/sheet21.xml><?xml version="1.0" encoding="utf-8"?>
<worksheet xmlns="http://schemas.openxmlformats.org/spreadsheetml/2006/main" xmlns:r="http://schemas.openxmlformats.org/officeDocument/2006/relationships">
  <sheetPr>
    <pageSetUpPr fitToPage="1"/>
  </sheetPr>
  <dimension ref="A1:N41"/>
  <sheetViews>
    <sheetView view="pageBreakPreview" topLeftCell="A4" zoomScaleSheetLayoutView="100" workbookViewId="0">
      <selection activeCell="B37" sqref="B37"/>
    </sheetView>
  </sheetViews>
  <sheetFormatPr defaultRowHeight="12.75"/>
  <cols>
    <col min="1" max="1" width="16" style="22" customWidth="1"/>
    <col min="2" max="2" width="2.85546875" style="22" bestFit="1" customWidth="1"/>
    <col min="3" max="3" width="7.42578125" style="22" bestFit="1" customWidth="1"/>
    <col min="4" max="4" width="14.5703125" style="29" customWidth="1"/>
    <col min="5" max="5" width="14.7109375" style="22" customWidth="1"/>
    <col min="6" max="6" width="14.85546875" style="31" bestFit="1" customWidth="1"/>
    <col min="7" max="7" width="13.7109375" style="31" bestFit="1" customWidth="1"/>
    <col min="8" max="8" width="11.140625" style="31" bestFit="1" customWidth="1"/>
    <col min="9" max="9" width="14.7109375" style="31" bestFit="1" customWidth="1"/>
    <col min="10" max="10" width="15.140625" style="31" bestFit="1" customWidth="1"/>
    <col min="11" max="11" width="2.140625" style="22" customWidth="1"/>
    <col min="12" max="12" width="14.85546875" style="30" bestFit="1" customWidth="1"/>
    <col min="13" max="13" width="13.5703125" style="22" bestFit="1" customWidth="1"/>
    <col min="14" max="14" width="12.85546875" style="30" bestFit="1" customWidth="1"/>
    <col min="15" max="16384" width="9.140625" style="22"/>
  </cols>
  <sheetData>
    <row r="1" spans="1:14">
      <c r="A1" s="1429" t="s">
        <v>1069</v>
      </c>
      <c r="B1" s="1429"/>
      <c r="C1" s="1429"/>
      <c r="D1" s="1429"/>
      <c r="E1" s="1429"/>
      <c r="F1" s="1429"/>
      <c r="G1" s="1429"/>
      <c r="H1" s="1429"/>
      <c r="I1" s="1429"/>
      <c r="J1" s="1429"/>
      <c r="K1" s="1429"/>
    </row>
    <row r="2" spans="1:14">
      <c r="A2" s="1429" t="s">
        <v>1070</v>
      </c>
      <c r="B2" s="1429"/>
      <c r="C2" s="1429"/>
      <c r="D2" s="1429"/>
      <c r="E2" s="1429"/>
      <c r="F2" s="1429"/>
      <c r="G2" s="1429"/>
      <c r="H2" s="1429"/>
      <c r="I2" s="1429"/>
      <c r="J2" s="1429"/>
      <c r="K2" s="1429"/>
    </row>
    <row r="3" spans="1:14">
      <c r="A3" s="1429" t="s">
        <v>3090</v>
      </c>
      <c r="B3" s="1429"/>
      <c r="C3" s="1429"/>
      <c r="D3" s="1429"/>
      <c r="E3" s="1429"/>
      <c r="F3" s="1429"/>
      <c r="G3" s="1429"/>
      <c r="H3" s="1429"/>
      <c r="I3" s="1429"/>
      <c r="J3" s="1429"/>
      <c r="K3" s="1429"/>
    </row>
    <row r="5" spans="1:14" ht="51">
      <c r="A5" s="1430" t="s">
        <v>1078</v>
      </c>
      <c r="B5" s="1430"/>
      <c r="C5" s="1430"/>
      <c r="D5" s="392" t="s">
        <v>1079</v>
      </c>
      <c r="E5" s="391" t="s">
        <v>1080</v>
      </c>
      <c r="F5" s="393" t="s">
        <v>3091</v>
      </c>
      <c r="G5" s="393" t="s">
        <v>1081</v>
      </c>
      <c r="H5" s="393" t="s">
        <v>1082</v>
      </c>
      <c r="I5" s="393" t="s">
        <v>1071</v>
      </c>
      <c r="J5" s="393" t="s">
        <v>3092</v>
      </c>
      <c r="K5" s="35"/>
    </row>
    <row r="6" spans="1:14" s="12" customFormat="1" ht="12.75" customHeight="1">
      <c r="A6" s="58"/>
      <c r="B6" s="39"/>
      <c r="C6" s="39"/>
      <c r="D6" s="44"/>
      <c r="E6" s="39"/>
      <c r="F6" s="45" t="s">
        <v>3386</v>
      </c>
      <c r="G6" s="45" t="s">
        <v>3386</v>
      </c>
      <c r="H6" s="45" t="s">
        <v>3386</v>
      </c>
      <c r="I6" s="45" t="s">
        <v>3386</v>
      </c>
      <c r="J6" s="46" t="s">
        <v>3386</v>
      </c>
      <c r="K6" s="36"/>
      <c r="L6" s="275"/>
      <c r="N6" s="275"/>
    </row>
    <row r="7" spans="1:14" s="12" customFormat="1">
      <c r="A7" s="47"/>
      <c r="B7" s="37"/>
      <c r="C7" s="37"/>
      <c r="D7" s="48"/>
      <c r="E7" s="37"/>
      <c r="F7" s="43"/>
      <c r="G7" s="43"/>
      <c r="H7" s="49"/>
      <c r="I7" s="43"/>
      <c r="J7" s="50"/>
      <c r="K7" s="38"/>
      <c r="L7" s="275"/>
      <c r="N7" s="275"/>
    </row>
    <row r="8" spans="1:14" s="12" customFormat="1" ht="12.75" customHeight="1">
      <c r="A8" s="51" t="s">
        <v>1072</v>
      </c>
      <c r="B8" s="39"/>
      <c r="C8" s="39"/>
      <c r="D8" s="48"/>
      <c r="E8" s="37"/>
      <c r="F8" s="43"/>
      <c r="G8" s="43"/>
      <c r="H8" s="49"/>
      <c r="I8" s="43"/>
      <c r="J8" s="50"/>
      <c r="K8" s="38"/>
      <c r="L8" s="275"/>
      <c r="N8" s="275"/>
    </row>
    <row r="9" spans="1:14">
      <c r="A9" s="157"/>
      <c r="B9" s="62"/>
      <c r="C9" s="62"/>
      <c r="D9" s="63"/>
      <c r="E9" s="62"/>
      <c r="F9" s="158"/>
      <c r="G9" s="158"/>
      <c r="H9" s="158"/>
      <c r="I9" s="158"/>
      <c r="J9" s="311"/>
    </row>
    <row r="10" spans="1:14" s="12" customFormat="1" ht="12.75" customHeight="1">
      <c r="A10" s="47" t="s">
        <v>1073</v>
      </c>
      <c r="B10" s="52" t="s">
        <v>1077</v>
      </c>
      <c r="C10" s="42">
        <v>0.1605</v>
      </c>
      <c r="D10" s="48" t="s">
        <v>602</v>
      </c>
      <c r="E10" s="61">
        <v>41455</v>
      </c>
      <c r="F10" s="43">
        <f>-'main TB'!H85</f>
        <v>704172.19</v>
      </c>
      <c r="G10" s="43">
        <v>0</v>
      </c>
      <c r="H10" s="43"/>
      <c r="I10" s="43">
        <f>139119.09+37362.45</f>
        <v>176481.53999999998</v>
      </c>
      <c r="J10" s="50">
        <f t="shared" ref="J10:J20" si="0">+F10-G10+H10-I10</f>
        <v>527690.64999999991</v>
      </c>
      <c r="K10" s="38"/>
      <c r="L10" s="230" t="s">
        <v>55</v>
      </c>
      <c r="N10" s="275"/>
    </row>
    <row r="11" spans="1:14" s="12" customFormat="1" ht="12.75" customHeight="1">
      <c r="A11" s="47" t="s">
        <v>916</v>
      </c>
      <c r="B11" s="52" t="s">
        <v>1077</v>
      </c>
      <c r="C11" s="42">
        <v>0</v>
      </c>
      <c r="D11" s="48"/>
      <c r="E11" s="61"/>
      <c r="F11" s="43">
        <f>-'main TB'!H89</f>
        <v>10000</v>
      </c>
      <c r="G11" s="43"/>
      <c r="H11" s="43"/>
      <c r="I11" s="43">
        <v>10000</v>
      </c>
      <c r="J11" s="50">
        <f t="shared" si="0"/>
        <v>0</v>
      </c>
      <c r="K11" s="38"/>
      <c r="L11" s="230" t="s">
        <v>55</v>
      </c>
      <c r="N11" s="275"/>
    </row>
    <row r="12" spans="1:14" s="12" customFormat="1" ht="12.75" customHeight="1">
      <c r="A12" s="47" t="s">
        <v>1073</v>
      </c>
      <c r="B12" s="52" t="s">
        <v>1077</v>
      </c>
      <c r="C12" s="42">
        <v>0.1168</v>
      </c>
      <c r="D12" s="478" t="s">
        <v>604</v>
      </c>
      <c r="E12" s="61">
        <v>40724</v>
      </c>
      <c r="F12" s="43">
        <f>-'main TB'!H90</f>
        <v>2756180.69</v>
      </c>
      <c r="G12" s="43"/>
      <c r="H12" s="43">
        <v>0</v>
      </c>
      <c r="I12" s="43">
        <v>963243.49</v>
      </c>
      <c r="J12" s="50">
        <f t="shared" si="0"/>
        <v>1792937.2</v>
      </c>
      <c r="K12" s="38"/>
      <c r="L12" s="230" t="s">
        <v>55</v>
      </c>
      <c r="M12" s="12">
        <f>1461072.18+331865.02</f>
        <v>1792937.2</v>
      </c>
      <c r="N12" s="275"/>
    </row>
    <row r="13" spans="1:14" s="12" customFormat="1" ht="12.75" customHeight="1">
      <c r="A13" s="47" t="s">
        <v>898</v>
      </c>
      <c r="B13" s="52" t="s">
        <v>1077</v>
      </c>
      <c r="C13" s="42">
        <v>0</v>
      </c>
      <c r="D13" s="478" t="s">
        <v>605</v>
      </c>
      <c r="E13" s="61">
        <v>39629</v>
      </c>
      <c r="F13" s="43">
        <f>-'main TB'!H91</f>
        <v>19868.04</v>
      </c>
      <c r="G13" s="43"/>
      <c r="H13" s="43"/>
      <c r="I13" s="43">
        <f>10587.22+9280.82</f>
        <v>19868.04</v>
      </c>
      <c r="J13" s="50">
        <f t="shared" si="0"/>
        <v>0</v>
      </c>
      <c r="K13" s="38"/>
      <c r="L13" s="230" t="s">
        <v>55</v>
      </c>
      <c r="N13" s="275"/>
    </row>
    <row r="14" spans="1:14" s="12" customFormat="1" ht="12.75" customHeight="1">
      <c r="A14" s="47" t="s">
        <v>1075</v>
      </c>
      <c r="B14" s="52" t="s">
        <v>1077</v>
      </c>
      <c r="C14" s="42">
        <v>0</v>
      </c>
      <c r="D14" s="478" t="s">
        <v>608</v>
      </c>
      <c r="E14" s="61">
        <v>40724</v>
      </c>
      <c r="F14" s="43">
        <f>-'main TB'!H92</f>
        <v>403522.09</v>
      </c>
      <c r="G14" s="43"/>
      <c r="H14" s="43"/>
      <c r="I14" s="43">
        <f>37752.71+41107.9</f>
        <v>78860.61</v>
      </c>
      <c r="J14" s="50">
        <f t="shared" si="0"/>
        <v>324661.48000000004</v>
      </c>
      <c r="K14" s="38"/>
      <c r="L14" s="230" t="s">
        <v>55</v>
      </c>
      <c r="N14" s="275"/>
    </row>
    <row r="15" spans="1:14" s="12" customFormat="1" ht="12.75" customHeight="1">
      <c r="A15" s="47" t="s">
        <v>1073</v>
      </c>
      <c r="B15" s="52" t="s">
        <v>1077</v>
      </c>
      <c r="C15" s="42">
        <v>9.7299999999999998E-2</v>
      </c>
      <c r="D15" s="478" t="s">
        <v>603</v>
      </c>
      <c r="E15" s="61">
        <v>46203</v>
      </c>
      <c r="F15" s="43">
        <f>-'main TB'!H93-'main TB'!H99</f>
        <v>951281.16</v>
      </c>
      <c r="G15" s="43">
        <v>0</v>
      </c>
      <c r="H15" s="43"/>
      <c r="I15" s="43">
        <v>21017.01</v>
      </c>
      <c r="J15" s="50">
        <f t="shared" si="0"/>
        <v>930264.15</v>
      </c>
      <c r="K15" s="38"/>
      <c r="L15" s="230" t="s">
        <v>55</v>
      </c>
      <c r="N15" s="275"/>
    </row>
    <row r="16" spans="1:14" s="12" customFormat="1" ht="12.75" customHeight="1">
      <c r="A16" s="47" t="s">
        <v>1073</v>
      </c>
      <c r="B16" s="52"/>
      <c r="C16" s="42"/>
      <c r="D16" s="478" t="s">
        <v>604</v>
      </c>
      <c r="E16" s="61">
        <v>40724</v>
      </c>
      <c r="F16" s="43">
        <f>-'main TB'!H96</f>
        <v>420630.21</v>
      </c>
      <c r="G16" s="43"/>
      <c r="H16" s="43"/>
      <c r="I16" s="43">
        <v>78715.210000000006</v>
      </c>
      <c r="J16" s="50">
        <f t="shared" si="0"/>
        <v>341915</v>
      </c>
      <c r="K16" s="38"/>
      <c r="L16" s="230" t="s">
        <v>55</v>
      </c>
      <c r="N16" s="275"/>
    </row>
    <row r="17" spans="1:14" s="12" customFormat="1" ht="12.75" customHeight="1">
      <c r="A17" s="47" t="s">
        <v>1073</v>
      </c>
      <c r="B17" s="52"/>
      <c r="C17" s="42"/>
      <c r="D17" s="478" t="s">
        <v>604</v>
      </c>
      <c r="E17" s="61">
        <v>40724</v>
      </c>
      <c r="F17" s="43">
        <f>-'main TB'!H98</f>
        <v>1323360.76</v>
      </c>
      <c r="G17" s="43"/>
      <c r="H17" s="43"/>
      <c r="I17" s="43">
        <v>247648.93</v>
      </c>
      <c r="J17" s="50">
        <f t="shared" si="0"/>
        <v>1075711.83</v>
      </c>
      <c r="K17" s="38"/>
      <c r="L17" s="230" t="s">
        <v>55</v>
      </c>
      <c r="N17" s="275"/>
    </row>
    <row r="18" spans="1:14" s="12" customFormat="1" ht="12.75" customHeight="1">
      <c r="A18" s="47" t="s">
        <v>1073</v>
      </c>
      <c r="B18" s="52"/>
      <c r="C18" s="42"/>
      <c r="D18" s="478" t="s">
        <v>603</v>
      </c>
      <c r="E18" s="61">
        <v>46203</v>
      </c>
      <c r="F18" s="43">
        <f>-'main TB'!H100</f>
        <v>1580177</v>
      </c>
      <c r="G18" s="43"/>
      <c r="H18" s="43"/>
      <c r="I18" s="43">
        <v>34911.440000000002</v>
      </c>
      <c r="J18" s="50">
        <f t="shared" si="0"/>
        <v>1545265.56</v>
      </c>
      <c r="K18" s="38"/>
      <c r="L18" s="230" t="s">
        <v>55</v>
      </c>
      <c r="N18" s="275"/>
    </row>
    <row r="19" spans="1:14" s="12" customFormat="1" ht="12.75" customHeight="1">
      <c r="A19" s="47" t="s">
        <v>1073</v>
      </c>
      <c r="B19" s="52"/>
      <c r="C19" s="42"/>
      <c r="D19" s="478" t="s">
        <v>604</v>
      </c>
      <c r="E19" s="61">
        <v>40724</v>
      </c>
      <c r="F19" s="43">
        <v>1016202.54</v>
      </c>
      <c r="G19" s="43"/>
      <c r="H19" s="43"/>
      <c r="I19" s="43">
        <v>249448.94</v>
      </c>
      <c r="J19" s="50">
        <f t="shared" si="0"/>
        <v>766753.60000000009</v>
      </c>
      <c r="K19" s="38"/>
      <c r="L19" s="230" t="s">
        <v>55</v>
      </c>
      <c r="N19" s="275"/>
    </row>
    <row r="20" spans="1:14" s="12" customFormat="1" ht="12.75" customHeight="1">
      <c r="A20" s="47" t="s">
        <v>1073</v>
      </c>
      <c r="B20" s="52"/>
      <c r="C20" s="42">
        <v>9.7299999999999998E-2</v>
      </c>
      <c r="D20" s="478" t="s">
        <v>603</v>
      </c>
      <c r="E20" s="61">
        <v>46203</v>
      </c>
      <c r="F20" s="43">
        <v>0</v>
      </c>
      <c r="G20" s="43"/>
      <c r="H20" s="43">
        <v>1718095.93</v>
      </c>
      <c r="I20" s="43">
        <v>24650.080000000002</v>
      </c>
      <c r="J20" s="50">
        <f t="shared" si="0"/>
        <v>1693445.8499999999</v>
      </c>
      <c r="K20" s="38"/>
      <c r="L20" s="230">
        <f>I21-H21</f>
        <v>186749.3600000001</v>
      </c>
      <c r="N20" s="275"/>
    </row>
    <row r="21" spans="1:14" s="12" customFormat="1">
      <c r="A21" s="1427" t="s">
        <v>1076</v>
      </c>
      <c r="B21" s="1428"/>
      <c r="C21" s="1428"/>
      <c r="D21" s="1428"/>
      <c r="E21" s="52"/>
      <c r="F21" s="59">
        <f>SUM(F10:F20)</f>
        <v>9185394.6799999997</v>
      </c>
      <c r="G21" s="59">
        <f>SUM(G10:G20)</f>
        <v>0</v>
      </c>
      <c r="H21" s="59">
        <f>SUM(H10:H20)</f>
        <v>1718095.93</v>
      </c>
      <c r="I21" s="59">
        <f>SUM(I10:I20)</f>
        <v>1904845.29</v>
      </c>
      <c r="J21" s="59">
        <f>SUM(J10:J20)</f>
        <v>8998645.3199999984</v>
      </c>
      <c r="K21" s="40"/>
      <c r="L21" s="275">
        <f>F21-J21</f>
        <v>186749.36000000127</v>
      </c>
      <c r="M21" s="274"/>
      <c r="N21" s="275"/>
    </row>
    <row r="22" spans="1:14" s="12" customFormat="1">
      <c r="A22" s="47"/>
      <c r="B22" s="1424"/>
      <c r="C22" s="1424"/>
      <c r="D22" s="37"/>
      <c r="E22" s="52"/>
      <c r="F22" s="43"/>
      <c r="G22" s="43"/>
      <c r="H22" s="43"/>
      <c r="I22" s="43"/>
      <c r="J22" s="50"/>
      <c r="K22" s="38"/>
      <c r="L22" s="275"/>
      <c r="N22" s="275"/>
    </row>
    <row r="23" spans="1:14" s="12" customFormat="1">
      <c r="A23" s="1425"/>
      <c r="B23" s="1426"/>
      <c r="C23" s="53"/>
      <c r="D23" s="52"/>
      <c r="E23" s="52"/>
      <c r="F23" s="43"/>
      <c r="G23" s="43"/>
      <c r="H23" s="43"/>
      <c r="I23" s="43"/>
      <c r="J23" s="50"/>
      <c r="K23" s="38"/>
      <c r="L23" s="275"/>
      <c r="N23" s="275"/>
    </row>
    <row r="24" spans="1:14" s="12" customFormat="1">
      <c r="A24" s="1427" t="s">
        <v>707</v>
      </c>
      <c r="B24" s="1428"/>
      <c r="C24" s="1428"/>
      <c r="D24" s="1428"/>
      <c r="E24" s="39"/>
      <c r="F24" s="59">
        <f>F21</f>
        <v>9185394.6799999997</v>
      </c>
      <c r="G24" s="59">
        <f>G21</f>
        <v>0</v>
      </c>
      <c r="H24" s="59">
        <f>H21</f>
        <v>1718095.93</v>
      </c>
      <c r="I24" s="59">
        <f>I21</f>
        <v>1904845.29</v>
      </c>
      <c r="J24" s="60">
        <f>J21</f>
        <v>8998645.3199999984</v>
      </c>
      <c r="K24" s="41"/>
      <c r="L24" s="275"/>
      <c r="N24" s="275"/>
    </row>
    <row r="25" spans="1:14">
      <c r="A25" s="1422"/>
      <c r="B25" s="1423"/>
      <c r="C25" s="54"/>
      <c r="D25" s="55"/>
      <c r="E25" s="55"/>
      <c r="F25" s="56"/>
      <c r="G25" s="56"/>
      <c r="H25" s="56"/>
      <c r="I25" s="56"/>
      <c r="J25" s="57"/>
      <c r="K25" s="33"/>
    </row>
    <row r="28" spans="1:14">
      <c r="J28" s="30"/>
    </row>
    <row r="29" spans="1:14">
      <c r="A29" s="199"/>
      <c r="J29" s="30"/>
    </row>
    <row r="30" spans="1:14">
      <c r="J30" s="30"/>
    </row>
    <row r="31" spans="1:14">
      <c r="J31" s="30"/>
    </row>
    <row r="32" spans="1:14">
      <c r="J32" s="30"/>
    </row>
    <row r="33" spans="10:13">
      <c r="J33" s="30"/>
    </row>
    <row r="34" spans="10:13" ht="15">
      <c r="J34" s="304"/>
    </row>
    <row r="35" spans="10:13">
      <c r="J35" s="30"/>
      <c r="M35" s="30"/>
    </row>
    <row r="36" spans="10:13">
      <c r="J36" s="30"/>
      <c r="M36" s="30"/>
    </row>
    <row r="37" spans="10:13">
      <c r="J37" s="30"/>
      <c r="M37" s="31"/>
    </row>
    <row r="38" spans="10:13">
      <c r="J38" s="30"/>
      <c r="M38" s="31"/>
    </row>
    <row r="39" spans="10:13">
      <c r="J39" s="30"/>
      <c r="M39" s="31"/>
    </row>
    <row r="40" spans="10:13">
      <c r="M40" s="31"/>
    </row>
    <row r="41" spans="10:13">
      <c r="M41" s="31"/>
    </row>
  </sheetData>
  <mergeCells count="9">
    <mergeCell ref="A25:B25"/>
    <mergeCell ref="B22:C22"/>
    <mergeCell ref="A23:B23"/>
    <mergeCell ref="A21:D21"/>
    <mergeCell ref="A1:K1"/>
    <mergeCell ref="A2:K2"/>
    <mergeCell ref="A3:K3"/>
    <mergeCell ref="A24:D24"/>
    <mergeCell ref="A5:C5"/>
  </mergeCells>
  <phoneticPr fontId="0" type="noConversion"/>
  <printOptions horizontalCentered="1"/>
  <pageMargins left="0.6692913385826772" right="0.39370078740157483" top="0.98425196850393704" bottom="0.98425196850393704" header="0.51181102362204722" footer="0.51181102362204722"/>
  <pageSetup scale="99" orientation="landscape" r:id="rId1"/>
  <headerFooter>
    <oddHeader>&amp;C FINANCIAL STATEMENTS: MUSINA LOCAL MUNICIPALITY</oddHeader>
    <oddFooter>&amp;RPage &amp;P</oddFooter>
  </headerFooter>
</worksheet>
</file>

<file path=xl/worksheets/sheet22.xml><?xml version="1.0" encoding="utf-8"?>
<worksheet xmlns="http://schemas.openxmlformats.org/spreadsheetml/2006/main" xmlns:r="http://schemas.openxmlformats.org/officeDocument/2006/relationships">
  <dimension ref="A1:P62"/>
  <sheetViews>
    <sheetView view="pageBreakPreview" topLeftCell="A5" zoomScaleSheetLayoutView="100" workbookViewId="0">
      <pane xSplit="1" ySplit="2" topLeftCell="B7" activePane="bottomRight" state="frozen"/>
      <selection activeCell="A14" sqref="A14"/>
      <selection pane="topRight" activeCell="A14" sqref="A14"/>
      <selection pane="bottomLeft" activeCell="A14" sqref="A14"/>
      <selection pane="bottomRight" activeCell="A14" sqref="A14"/>
    </sheetView>
  </sheetViews>
  <sheetFormatPr defaultRowHeight="12.75"/>
  <cols>
    <col min="1" max="1" width="19.28515625" style="810" customWidth="1"/>
    <col min="2" max="2" width="16.140625" style="864" bestFit="1" customWidth="1"/>
    <col min="3" max="3" width="14" style="864" bestFit="1" customWidth="1"/>
    <col min="4" max="4" width="10.42578125" style="864" customWidth="1"/>
    <col min="5" max="5" width="9.85546875" style="864" bestFit="1" customWidth="1"/>
    <col min="6" max="6" width="15.85546875" style="864" bestFit="1" customWidth="1"/>
    <col min="7" max="7" width="1" style="864" customWidth="1"/>
    <col min="8" max="8" width="16.140625" style="864" bestFit="1" customWidth="1"/>
    <col min="9" max="9" width="11.140625" style="864" bestFit="1" customWidth="1"/>
    <col min="10" max="10" width="8.7109375" style="864" customWidth="1"/>
    <col min="11" max="11" width="15.85546875" style="864" bestFit="1" customWidth="1"/>
    <col min="12" max="12" width="0.85546875" style="864" customWidth="1"/>
    <col min="13" max="13" width="14.85546875" style="864" bestFit="1" customWidth="1"/>
    <col min="14" max="14" width="16.140625" style="810" bestFit="1" customWidth="1"/>
    <col min="15" max="15" width="11.7109375" style="809" bestFit="1" customWidth="1"/>
    <col min="16" max="16" width="11.85546875" style="809" bestFit="1" customWidth="1"/>
    <col min="17" max="16384" width="9.140625" style="810"/>
  </cols>
  <sheetData>
    <row r="1" spans="1:16">
      <c r="A1" s="1432" t="s">
        <v>1083</v>
      </c>
      <c r="B1" s="1432"/>
      <c r="C1" s="1432"/>
      <c r="D1" s="1432"/>
      <c r="E1" s="1432"/>
      <c r="F1" s="1432"/>
      <c r="G1" s="1432"/>
      <c r="H1" s="1432"/>
      <c r="I1" s="1432"/>
      <c r="J1" s="1432"/>
      <c r="K1" s="1432"/>
      <c r="L1" s="1432"/>
      <c r="M1" s="1432"/>
      <c r="N1" s="1432"/>
    </row>
    <row r="2" spans="1:16">
      <c r="A2" s="1432" t="s">
        <v>1084</v>
      </c>
      <c r="B2" s="1432"/>
      <c r="C2" s="1432"/>
      <c r="D2" s="1432"/>
      <c r="E2" s="1432"/>
      <c r="F2" s="1432"/>
      <c r="G2" s="1432"/>
      <c r="H2" s="1432"/>
      <c r="I2" s="1432"/>
      <c r="J2" s="1432"/>
      <c r="K2" s="1432"/>
      <c r="L2" s="1432"/>
      <c r="M2" s="1432"/>
      <c r="N2" s="1432"/>
    </row>
    <row r="3" spans="1:16">
      <c r="A3" s="1432" t="s">
        <v>3090</v>
      </c>
      <c r="B3" s="1432"/>
      <c r="C3" s="1432"/>
      <c r="D3" s="1432"/>
      <c r="E3" s="1432"/>
      <c r="F3" s="1432"/>
      <c r="G3" s="1432"/>
      <c r="H3" s="1432"/>
      <c r="I3" s="1432"/>
      <c r="J3" s="1432"/>
      <c r="K3" s="1432"/>
      <c r="L3" s="1432"/>
      <c r="M3" s="1432"/>
      <c r="N3" s="1432"/>
    </row>
    <row r="4" spans="1:16">
      <c r="A4" s="840"/>
      <c r="B4" s="826"/>
      <c r="C4" s="826"/>
      <c r="D4" s="826"/>
      <c r="E4" s="826"/>
      <c r="F4" s="826"/>
      <c r="G4" s="826"/>
      <c r="H4" s="826"/>
      <c r="I4" s="826"/>
      <c r="J4" s="826"/>
      <c r="K4" s="826"/>
      <c r="L4" s="826"/>
      <c r="M4" s="826"/>
      <c r="N4" s="827"/>
    </row>
    <row r="5" spans="1:16" ht="14.25" customHeight="1">
      <c r="A5" s="953"/>
      <c r="B5" s="1433" t="s">
        <v>1085</v>
      </c>
      <c r="C5" s="1434"/>
      <c r="D5" s="1434"/>
      <c r="E5" s="1434"/>
      <c r="F5" s="1435"/>
      <c r="G5" s="954"/>
      <c r="H5" s="1433" t="s">
        <v>1086</v>
      </c>
      <c r="I5" s="1434"/>
      <c r="J5" s="1434"/>
      <c r="K5" s="1435"/>
      <c r="L5" s="954"/>
      <c r="M5" s="955"/>
      <c r="N5" s="956"/>
      <c r="O5" s="957"/>
    </row>
    <row r="6" spans="1:16" ht="27">
      <c r="A6" s="950"/>
      <c r="B6" s="958" t="s">
        <v>3014</v>
      </c>
      <c r="C6" s="958" t="s">
        <v>3015</v>
      </c>
      <c r="D6" s="958" t="s">
        <v>1421</v>
      </c>
      <c r="E6" s="958" t="s">
        <v>696</v>
      </c>
      <c r="F6" s="958" t="s">
        <v>3012</v>
      </c>
      <c r="G6" s="951"/>
      <c r="H6" s="958" t="s">
        <v>3014</v>
      </c>
      <c r="I6" s="958" t="s">
        <v>1422</v>
      </c>
      <c r="J6" s="959" t="s">
        <v>1423</v>
      </c>
      <c r="K6" s="958" t="s">
        <v>3012</v>
      </c>
      <c r="L6" s="951"/>
      <c r="M6" s="958" t="s">
        <v>3013</v>
      </c>
      <c r="N6" s="960" t="s">
        <v>1094</v>
      </c>
      <c r="O6" s="952"/>
    </row>
    <row r="7" spans="1:16">
      <c r="A7" s="961"/>
      <c r="B7" s="962" t="s">
        <v>3386</v>
      </c>
      <c r="C7" s="962" t="s">
        <v>3386</v>
      </c>
      <c r="D7" s="962" t="s">
        <v>3386</v>
      </c>
      <c r="E7" s="962" t="s">
        <v>3386</v>
      </c>
      <c r="F7" s="962" t="s">
        <v>3386</v>
      </c>
      <c r="G7" s="962"/>
      <c r="H7" s="962" t="s">
        <v>3386</v>
      </c>
      <c r="I7" s="962" t="s">
        <v>3386</v>
      </c>
      <c r="J7" s="951" t="s">
        <v>3386</v>
      </c>
      <c r="K7" s="962" t="s">
        <v>3386</v>
      </c>
      <c r="L7" s="962"/>
      <c r="M7" s="962" t="s">
        <v>3386</v>
      </c>
      <c r="N7" s="963" t="s">
        <v>3386</v>
      </c>
      <c r="O7" s="964"/>
    </row>
    <row r="8" spans="1:16">
      <c r="A8" s="950" t="s">
        <v>1095</v>
      </c>
      <c r="B8" s="965">
        <f>SUM(B9:B19)</f>
        <v>20757593.459999997</v>
      </c>
      <c r="C8" s="965">
        <f>SUM(C9:C19)</f>
        <v>1242908</v>
      </c>
      <c r="D8" s="965">
        <f>SUM(D9:D19)</f>
        <v>0</v>
      </c>
      <c r="E8" s="965">
        <f>SUM(E9:E19)</f>
        <v>0</v>
      </c>
      <c r="F8" s="965">
        <f>SUM(F9:F19)</f>
        <v>22000501.459999997</v>
      </c>
      <c r="G8" s="965"/>
      <c r="H8" s="965">
        <f>SUM(H9:H19)</f>
        <v>8511016.9600000009</v>
      </c>
      <c r="I8" s="965">
        <f>SUM(I9:I19)</f>
        <v>1490469</v>
      </c>
      <c r="J8" s="965">
        <f>SUM(J9:J19)</f>
        <v>0</v>
      </c>
      <c r="K8" s="965">
        <f>SUM(K9:K19)</f>
        <v>10001485.960000001</v>
      </c>
      <c r="L8" s="965"/>
      <c r="M8" s="965">
        <f>SUM(M9:M19)</f>
        <v>11999015.5</v>
      </c>
      <c r="N8" s="966">
        <f>SUM(N9:N19)</f>
        <v>0</v>
      </c>
      <c r="O8" s="967">
        <v>10337629.58</v>
      </c>
      <c r="P8" s="809">
        <f>K8-O8</f>
        <v>-336143.61999999918</v>
      </c>
    </row>
    <row r="9" spans="1:16" ht="18">
      <c r="A9" s="968" t="s">
        <v>1096</v>
      </c>
      <c r="B9" s="969">
        <v>10770207.779999999</v>
      </c>
      <c r="C9" s="969">
        <v>815185</v>
      </c>
      <c r="D9" s="969">
        <v>0</v>
      </c>
      <c r="E9" s="969">
        <v>0</v>
      </c>
      <c r="F9" s="969">
        <f>+B9+C9+D9-E9</f>
        <v>11585392.779999999</v>
      </c>
      <c r="G9" s="970"/>
      <c r="H9" s="969">
        <v>5847947.6100000003</v>
      </c>
      <c r="I9" s="969">
        <v>1071359</v>
      </c>
      <c r="J9" s="971">
        <v>0</v>
      </c>
      <c r="K9" s="969">
        <f>+H9+I9-J9</f>
        <v>6919306.6100000003</v>
      </c>
      <c r="L9" s="970"/>
      <c r="M9" s="969">
        <f>+F9-K9</f>
        <v>4666086.169999999</v>
      </c>
      <c r="N9" s="972">
        <v>0</v>
      </c>
      <c r="O9" s="973"/>
    </row>
    <row r="10" spans="1:16">
      <c r="A10" s="968" t="s">
        <v>1097</v>
      </c>
      <c r="B10" s="974">
        <v>42306.26</v>
      </c>
      <c r="C10" s="974">
        <v>0</v>
      </c>
      <c r="D10" s="974">
        <v>0</v>
      </c>
      <c r="E10" s="974">
        <v>0</v>
      </c>
      <c r="F10" s="974">
        <f t="shared" ref="F10:F19" si="0">+B10+C10+D10-E10</f>
        <v>42306.26</v>
      </c>
      <c r="G10" s="970"/>
      <c r="H10" s="974">
        <v>25822.07</v>
      </c>
      <c r="I10" s="974">
        <v>5004</v>
      </c>
      <c r="J10" s="975">
        <v>0</v>
      </c>
      <c r="K10" s="974">
        <f t="shared" ref="K10:K19" si="1">+H10+I10-J10</f>
        <v>30826.07</v>
      </c>
      <c r="L10" s="970"/>
      <c r="M10" s="974">
        <f t="shared" ref="M10:M19" si="2">+F10-K10</f>
        <v>11480.190000000002</v>
      </c>
      <c r="N10" s="976">
        <v>0</v>
      </c>
      <c r="O10" s="973"/>
    </row>
    <row r="11" spans="1:16" ht="18">
      <c r="A11" s="968" t="s">
        <v>1098</v>
      </c>
      <c r="B11" s="974">
        <v>0</v>
      </c>
      <c r="C11" s="974">
        <v>0</v>
      </c>
      <c r="D11" s="974">
        <v>0</v>
      </c>
      <c r="E11" s="974">
        <v>0</v>
      </c>
      <c r="F11" s="974">
        <f t="shared" si="0"/>
        <v>0</v>
      </c>
      <c r="G11" s="970"/>
      <c r="H11" s="974"/>
      <c r="I11" s="974"/>
      <c r="J11" s="975">
        <v>0</v>
      </c>
      <c r="K11" s="974">
        <f t="shared" si="1"/>
        <v>0</v>
      </c>
      <c r="L11" s="970"/>
      <c r="M11" s="974">
        <f t="shared" si="2"/>
        <v>0</v>
      </c>
      <c r="N11" s="976">
        <v>0</v>
      </c>
      <c r="O11" s="973"/>
    </row>
    <row r="12" spans="1:16">
      <c r="A12" s="968" t="s">
        <v>1099</v>
      </c>
      <c r="B12" s="974">
        <v>9457790.4000000004</v>
      </c>
      <c r="C12" s="974">
        <v>91396</v>
      </c>
      <c r="D12" s="974">
        <v>0</v>
      </c>
      <c r="E12" s="974">
        <v>0</v>
      </c>
      <c r="F12" s="974">
        <f t="shared" si="0"/>
        <v>9549186.4000000004</v>
      </c>
      <c r="G12" s="970"/>
      <c r="H12" s="974">
        <v>2444673.5699999998</v>
      </c>
      <c r="I12" s="974">
        <v>366750</v>
      </c>
      <c r="J12" s="975">
        <v>0</v>
      </c>
      <c r="K12" s="974">
        <f t="shared" si="1"/>
        <v>2811423.57</v>
      </c>
      <c r="L12" s="977"/>
      <c r="M12" s="974">
        <f t="shared" si="2"/>
        <v>6737762.8300000001</v>
      </c>
      <c r="N12" s="976">
        <v>0</v>
      </c>
      <c r="O12" s="973"/>
    </row>
    <row r="13" spans="1:16" ht="18">
      <c r="A13" s="968" t="s">
        <v>1100</v>
      </c>
      <c r="B13" s="974">
        <v>1882.57</v>
      </c>
      <c r="C13" s="974">
        <v>299068</v>
      </c>
      <c r="D13" s="974">
        <v>0</v>
      </c>
      <c r="E13" s="974">
        <v>0</v>
      </c>
      <c r="F13" s="974">
        <f t="shared" si="0"/>
        <v>300950.57</v>
      </c>
      <c r="G13" s="970"/>
      <c r="H13" s="974">
        <v>524.71</v>
      </c>
      <c r="I13" s="974">
        <v>126</v>
      </c>
      <c r="J13" s="975">
        <v>0</v>
      </c>
      <c r="K13" s="974">
        <f t="shared" si="1"/>
        <v>650.71</v>
      </c>
      <c r="L13" s="970"/>
      <c r="M13" s="974">
        <f t="shared" si="2"/>
        <v>300299.86</v>
      </c>
      <c r="N13" s="976">
        <v>0</v>
      </c>
      <c r="O13" s="973"/>
    </row>
    <row r="14" spans="1:16">
      <c r="A14" s="968" t="s">
        <v>1101</v>
      </c>
      <c r="B14" s="974">
        <v>0</v>
      </c>
      <c r="C14" s="974">
        <v>0</v>
      </c>
      <c r="D14" s="974">
        <v>0</v>
      </c>
      <c r="E14" s="974">
        <v>0</v>
      </c>
      <c r="F14" s="974">
        <f t="shared" si="0"/>
        <v>0</v>
      </c>
      <c r="G14" s="970"/>
      <c r="H14" s="974"/>
      <c r="I14" s="974"/>
      <c r="J14" s="975">
        <v>0</v>
      </c>
      <c r="K14" s="974">
        <f t="shared" si="1"/>
        <v>0</v>
      </c>
      <c r="L14" s="970"/>
      <c r="M14" s="974">
        <f t="shared" si="2"/>
        <v>0</v>
      </c>
      <c r="N14" s="978">
        <v>0</v>
      </c>
      <c r="O14" s="973"/>
    </row>
    <row r="15" spans="1:16">
      <c r="A15" s="968" t="s">
        <v>1102</v>
      </c>
      <c r="B15" s="974">
        <v>0</v>
      </c>
      <c r="C15" s="974">
        <v>0</v>
      </c>
      <c r="D15" s="974">
        <v>0</v>
      </c>
      <c r="E15" s="974">
        <v>0</v>
      </c>
      <c r="F15" s="974">
        <f t="shared" si="0"/>
        <v>0</v>
      </c>
      <c r="G15" s="970"/>
      <c r="H15" s="974"/>
      <c r="I15" s="974"/>
      <c r="J15" s="975">
        <v>0</v>
      </c>
      <c r="K15" s="974">
        <f t="shared" si="1"/>
        <v>0</v>
      </c>
      <c r="L15" s="970"/>
      <c r="M15" s="974">
        <f t="shared" si="2"/>
        <v>0</v>
      </c>
      <c r="N15" s="976">
        <v>0</v>
      </c>
      <c r="O15" s="973"/>
    </row>
    <row r="16" spans="1:16">
      <c r="A16" s="968" t="s">
        <v>1103</v>
      </c>
      <c r="B16" s="974">
        <v>0</v>
      </c>
      <c r="C16" s="974">
        <v>0</v>
      </c>
      <c r="D16" s="974">
        <v>0</v>
      </c>
      <c r="E16" s="974">
        <v>0</v>
      </c>
      <c r="F16" s="974">
        <f t="shared" si="0"/>
        <v>0</v>
      </c>
      <c r="G16" s="970"/>
      <c r="H16" s="974"/>
      <c r="I16" s="974"/>
      <c r="J16" s="975">
        <v>0</v>
      </c>
      <c r="K16" s="974">
        <f t="shared" si="1"/>
        <v>0</v>
      </c>
      <c r="L16" s="970"/>
      <c r="M16" s="974">
        <f t="shared" si="2"/>
        <v>0</v>
      </c>
      <c r="N16" s="976">
        <v>0</v>
      </c>
      <c r="O16" s="973"/>
    </row>
    <row r="17" spans="1:16">
      <c r="A17" s="968" t="s">
        <v>1436</v>
      </c>
      <c r="B17" s="974">
        <v>355692.4</v>
      </c>
      <c r="C17" s="974"/>
      <c r="D17" s="974"/>
      <c r="E17" s="974"/>
      <c r="F17" s="974">
        <f t="shared" si="0"/>
        <v>355692.4</v>
      </c>
      <c r="G17" s="970"/>
      <c r="H17" s="974">
        <v>94851</v>
      </c>
      <c r="I17" s="974">
        <v>11856</v>
      </c>
      <c r="J17" s="975"/>
      <c r="K17" s="974">
        <f t="shared" si="1"/>
        <v>106707</v>
      </c>
      <c r="L17" s="970"/>
      <c r="M17" s="974">
        <f>+F17-K17</f>
        <v>248985.40000000002</v>
      </c>
      <c r="N17" s="976">
        <v>0</v>
      </c>
      <c r="O17" s="973"/>
    </row>
    <row r="18" spans="1:16">
      <c r="A18" s="968" t="s">
        <v>1437</v>
      </c>
      <c r="B18" s="974">
        <v>129714.05</v>
      </c>
      <c r="C18" s="974">
        <v>37259</v>
      </c>
      <c r="D18" s="974"/>
      <c r="E18" s="974"/>
      <c r="F18" s="974">
        <f t="shared" si="0"/>
        <v>166973.04999999999</v>
      </c>
      <c r="G18" s="970"/>
      <c r="H18" s="974">
        <v>97198</v>
      </c>
      <c r="I18" s="974">
        <v>35374</v>
      </c>
      <c r="J18" s="975"/>
      <c r="K18" s="974">
        <f t="shared" si="1"/>
        <v>132572</v>
      </c>
      <c r="L18" s="970"/>
      <c r="M18" s="974">
        <f>+F18-K18</f>
        <v>34401.049999999988</v>
      </c>
      <c r="N18" s="976">
        <v>0</v>
      </c>
      <c r="O18" s="973"/>
    </row>
    <row r="19" spans="1:16" ht="18">
      <c r="A19" s="968" t="s">
        <v>1104</v>
      </c>
      <c r="B19" s="979">
        <v>0</v>
      </c>
      <c r="C19" s="979">
        <v>0</v>
      </c>
      <c r="D19" s="979">
        <v>0</v>
      </c>
      <c r="E19" s="979">
        <v>0</v>
      </c>
      <c r="F19" s="979">
        <f t="shared" si="0"/>
        <v>0</v>
      </c>
      <c r="G19" s="970"/>
      <c r="H19" s="979"/>
      <c r="I19" s="979"/>
      <c r="J19" s="980">
        <v>0</v>
      </c>
      <c r="K19" s="979">
        <f t="shared" si="1"/>
        <v>0</v>
      </c>
      <c r="L19" s="970"/>
      <c r="M19" s="979">
        <f t="shared" si="2"/>
        <v>0</v>
      </c>
      <c r="N19" s="981">
        <v>0</v>
      </c>
      <c r="O19" s="973"/>
    </row>
    <row r="20" spans="1:16" s="985" customFormat="1" ht="12.75" customHeight="1">
      <c r="A20" s="968"/>
      <c r="B20" s="970"/>
      <c r="C20" s="970"/>
      <c r="D20" s="970"/>
      <c r="E20" s="970"/>
      <c r="F20" s="970"/>
      <c r="G20" s="970"/>
      <c r="H20" s="970"/>
      <c r="I20" s="970"/>
      <c r="J20" s="982"/>
      <c r="K20" s="970"/>
      <c r="L20" s="970"/>
      <c r="M20" s="970"/>
      <c r="N20" s="983"/>
      <c r="O20" s="973"/>
      <c r="P20" s="984"/>
    </row>
    <row r="21" spans="1:16">
      <c r="A21" s="950" t="s">
        <v>1105</v>
      </c>
      <c r="B21" s="965">
        <f>SUM(B22:B24)</f>
        <v>24099683.079999998</v>
      </c>
      <c r="C21" s="965">
        <f>SUM(C22:C24)</f>
        <v>83318034.040000007</v>
      </c>
      <c r="D21" s="965">
        <f>SUM(D22:D24)</f>
        <v>2171838</v>
      </c>
      <c r="E21" s="965">
        <f>SUM(E22:E24)</f>
        <v>0</v>
      </c>
      <c r="F21" s="965">
        <f>SUM(F22:F24)</f>
        <v>109589555.12</v>
      </c>
      <c r="G21" s="965"/>
      <c r="H21" s="965">
        <f>SUM(H22:H24)</f>
        <v>6073663.0300000003</v>
      </c>
      <c r="I21" s="965">
        <f>SUM(I22:I24)</f>
        <v>880928.52</v>
      </c>
      <c r="J21" s="965">
        <f>SUM(J22:J24)</f>
        <v>0</v>
      </c>
      <c r="K21" s="965">
        <f>SUM(K22:K24)</f>
        <v>6954591.5500000007</v>
      </c>
      <c r="L21" s="965"/>
      <c r="M21" s="965">
        <f>SUM(M22:M24)</f>
        <v>102634963.57000001</v>
      </c>
      <c r="N21" s="966">
        <f>SUM(N22:N24)</f>
        <v>0</v>
      </c>
      <c r="O21" s="967">
        <v>2065723.4</v>
      </c>
      <c r="P21" s="809">
        <f>K21-O21</f>
        <v>4888868.1500000004</v>
      </c>
    </row>
    <row r="22" spans="1:16">
      <c r="A22" s="968" t="s">
        <v>1440</v>
      </c>
      <c r="B22" s="969">
        <f>14632624.8</f>
        <v>14632624.800000001</v>
      </c>
      <c r="C22" s="969">
        <f>2180331.87-2171838+789531.04-8493.87</f>
        <v>789531.04000000015</v>
      </c>
      <c r="D22" s="969">
        <v>2171838</v>
      </c>
      <c r="E22" s="969">
        <v>0</v>
      </c>
      <c r="F22" s="969">
        <f>+B22+C22+D22-E22</f>
        <v>17593993.840000004</v>
      </c>
      <c r="G22" s="970"/>
      <c r="H22" s="969">
        <f>3712566.66</f>
        <v>3712566.66</v>
      </c>
      <c r="I22" s="969">
        <v>550905.23</v>
      </c>
      <c r="J22" s="971">
        <v>0</v>
      </c>
      <c r="K22" s="969">
        <f>+H22+I22-J22</f>
        <v>4263471.8900000006</v>
      </c>
      <c r="L22" s="970"/>
      <c r="M22" s="969">
        <f>+F22-K22</f>
        <v>13330521.950000003</v>
      </c>
      <c r="N22" s="972">
        <v>0</v>
      </c>
      <c r="O22" s="973"/>
    </row>
    <row r="23" spans="1:16">
      <c r="A23" s="968" t="s">
        <v>1469</v>
      </c>
      <c r="B23" s="974">
        <v>951281.28</v>
      </c>
      <c r="C23" s="974">
        <v>0</v>
      </c>
      <c r="D23" s="974">
        <v>0</v>
      </c>
      <c r="E23" s="974">
        <v>0</v>
      </c>
      <c r="F23" s="974">
        <f>+B23+C23+D23-E23</f>
        <v>951281.28</v>
      </c>
      <c r="G23" s="970"/>
      <c r="H23" s="974">
        <v>59422.5</v>
      </c>
      <c r="I23" s="974">
        <v>47564.06</v>
      </c>
      <c r="J23" s="975">
        <v>0</v>
      </c>
      <c r="K23" s="974">
        <f>+H23+I23-J23</f>
        <v>106986.56</v>
      </c>
      <c r="L23" s="970"/>
      <c r="M23" s="974">
        <f>+F23-K23</f>
        <v>844294.72</v>
      </c>
      <c r="N23" s="976">
        <v>0</v>
      </c>
      <c r="O23" s="973"/>
    </row>
    <row r="24" spans="1:16">
      <c r="A24" s="968" t="s">
        <v>3281</v>
      </c>
      <c r="B24" s="979">
        <v>8515777</v>
      </c>
      <c r="C24" s="979">
        <v>82528503</v>
      </c>
      <c r="D24" s="979">
        <v>0</v>
      </c>
      <c r="E24" s="979">
        <v>0</v>
      </c>
      <c r="F24" s="979">
        <f>+B24+C24+D24-E24</f>
        <v>91044280</v>
      </c>
      <c r="G24" s="970"/>
      <c r="H24" s="979">
        <v>2301673.87</v>
      </c>
      <c r="I24" s="979">
        <v>282459.23</v>
      </c>
      <c r="J24" s="980">
        <v>0</v>
      </c>
      <c r="K24" s="979">
        <f>+H24+I24-J24</f>
        <v>2584133.1</v>
      </c>
      <c r="L24" s="970"/>
      <c r="M24" s="979">
        <f>+F24-K24</f>
        <v>88460146.900000006</v>
      </c>
      <c r="N24" s="981">
        <v>0</v>
      </c>
      <c r="O24" s="973"/>
    </row>
    <row r="25" spans="1:16">
      <c r="A25" s="986"/>
      <c r="B25" s="970" t="s">
        <v>55</v>
      </c>
      <c r="C25" s="970" t="s">
        <v>55</v>
      </c>
      <c r="D25" s="970"/>
      <c r="E25" s="970"/>
      <c r="F25" s="970" t="s">
        <v>55</v>
      </c>
      <c r="G25" s="970"/>
      <c r="H25" s="970"/>
      <c r="I25" s="970" t="s">
        <v>55</v>
      </c>
      <c r="J25" s="982"/>
      <c r="K25" s="970"/>
      <c r="L25" s="970"/>
      <c r="M25" s="970"/>
      <c r="N25" s="983"/>
      <c r="O25" s="987"/>
    </row>
    <row r="26" spans="1:16">
      <c r="A26" s="950" t="s">
        <v>3007</v>
      </c>
      <c r="B26" s="965">
        <f>SUM(B27:B34)</f>
        <v>8780077.8000000007</v>
      </c>
      <c r="C26" s="965">
        <f>SUM(C27:C34)</f>
        <v>3312209.09</v>
      </c>
      <c r="D26" s="965">
        <f>SUM(D27:D34)</f>
        <v>0</v>
      </c>
      <c r="E26" s="965">
        <f>SUM(E27:E34)</f>
        <v>0</v>
      </c>
      <c r="F26" s="965">
        <f>SUM(F27:F34)</f>
        <v>12092286.889999999</v>
      </c>
      <c r="G26" s="965"/>
      <c r="H26" s="965">
        <f>SUM(H27:H34)</f>
        <v>4444150.6100000003</v>
      </c>
      <c r="I26" s="965">
        <f>SUM(I27:I34)</f>
        <v>1121516.78</v>
      </c>
      <c r="J26" s="965">
        <f>SUM(J27:J34)</f>
        <v>0</v>
      </c>
      <c r="K26" s="965">
        <f>SUM(K27:K34)</f>
        <v>5565667.3899999997</v>
      </c>
      <c r="L26" s="965"/>
      <c r="M26" s="965">
        <f>SUM(M27:M34)</f>
        <v>6526619.4999999991</v>
      </c>
      <c r="N26" s="966">
        <f>SUM(N27:N34)</f>
        <v>0</v>
      </c>
      <c r="O26" s="967">
        <v>10442392.23</v>
      </c>
      <c r="P26" s="809">
        <f>K26-O26</f>
        <v>-4876724.8400000008</v>
      </c>
    </row>
    <row r="27" spans="1:16">
      <c r="A27" s="968" t="s">
        <v>3368</v>
      </c>
      <c r="B27" s="969">
        <v>1807273.26</v>
      </c>
      <c r="C27" s="969">
        <v>52136.37</v>
      </c>
      <c r="D27" s="969">
        <v>0</v>
      </c>
      <c r="E27" s="969">
        <v>0</v>
      </c>
      <c r="F27" s="969">
        <f t="shared" ref="F27:F34" si="3">+B27+C27+D27-E27</f>
        <v>1859409.6300000001</v>
      </c>
      <c r="G27" s="970"/>
      <c r="H27" s="969">
        <v>1189905.43</v>
      </c>
      <c r="I27" s="969">
        <v>271765.52</v>
      </c>
      <c r="J27" s="971">
        <v>0</v>
      </c>
      <c r="K27" s="969">
        <f t="shared" ref="K27:K34" si="4">+H27+I27-J27</f>
        <v>1461670.95</v>
      </c>
      <c r="L27" s="970"/>
      <c r="M27" s="969">
        <f t="shared" ref="M27:M34" si="5">+F27-K27</f>
        <v>397738.68000000017</v>
      </c>
      <c r="N27" s="972">
        <v>0</v>
      </c>
      <c r="O27" s="973"/>
    </row>
    <row r="28" spans="1:16">
      <c r="A28" s="968" t="s">
        <v>3008</v>
      </c>
      <c r="B28" s="974">
        <v>1063878.17</v>
      </c>
      <c r="C28" s="974">
        <v>512726.92</v>
      </c>
      <c r="D28" s="974">
        <v>0</v>
      </c>
      <c r="E28" s="974">
        <v>0</v>
      </c>
      <c r="F28" s="974">
        <f t="shared" si="3"/>
        <v>1576605.0899999999</v>
      </c>
      <c r="G28" s="970"/>
      <c r="H28" s="974">
        <v>648299.79</v>
      </c>
      <c r="I28" s="974">
        <v>154700.87</v>
      </c>
      <c r="J28" s="975">
        <v>0</v>
      </c>
      <c r="K28" s="974">
        <f>+H28+I28-J28</f>
        <v>803000.66</v>
      </c>
      <c r="L28" s="970"/>
      <c r="M28" s="974">
        <f t="shared" si="5"/>
        <v>773604.42999999982</v>
      </c>
      <c r="N28" s="976">
        <v>0</v>
      </c>
      <c r="O28" s="973"/>
      <c r="P28" s="809">
        <f>SUM(P8:P26)</f>
        <v>-324000.30999999959</v>
      </c>
    </row>
    <row r="29" spans="1:16">
      <c r="A29" s="968" t="s">
        <v>3009</v>
      </c>
      <c r="B29" s="974">
        <v>3017459.69</v>
      </c>
      <c r="C29" s="974">
        <v>2596964.2799999998</v>
      </c>
      <c r="D29" s="974">
        <v>0</v>
      </c>
      <c r="E29" s="974">
        <v>0</v>
      </c>
      <c r="F29" s="974">
        <f t="shared" si="3"/>
        <v>5614423.9699999997</v>
      </c>
      <c r="G29" s="970"/>
      <c r="H29" s="974">
        <v>2104337.9900000002</v>
      </c>
      <c r="I29" s="974">
        <v>542540.66</v>
      </c>
      <c r="J29" s="975">
        <v>0</v>
      </c>
      <c r="K29" s="974">
        <f t="shared" si="4"/>
        <v>2646878.6500000004</v>
      </c>
      <c r="L29" s="970"/>
      <c r="M29" s="974">
        <f t="shared" si="5"/>
        <v>2967545.3199999994</v>
      </c>
      <c r="N29" s="976">
        <v>0</v>
      </c>
      <c r="O29" s="973"/>
    </row>
    <row r="30" spans="1:16">
      <c r="A30" s="968" t="s">
        <v>1438</v>
      </c>
      <c r="B30" s="974">
        <v>1463110</v>
      </c>
      <c r="C30" s="974"/>
      <c r="D30" s="974">
        <v>0</v>
      </c>
      <c r="E30" s="974">
        <v>0</v>
      </c>
      <c r="F30" s="974">
        <f t="shared" si="3"/>
        <v>1463110</v>
      </c>
      <c r="G30" s="970"/>
      <c r="H30" s="974">
        <v>0</v>
      </c>
      <c r="I30" s="974">
        <v>0</v>
      </c>
      <c r="J30" s="975">
        <v>0</v>
      </c>
      <c r="K30" s="974">
        <f t="shared" si="4"/>
        <v>0</v>
      </c>
      <c r="L30" s="970"/>
      <c r="M30" s="974">
        <f t="shared" si="5"/>
        <v>1463110</v>
      </c>
      <c r="N30" s="978">
        <v>0</v>
      </c>
      <c r="O30" s="973"/>
    </row>
    <row r="31" spans="1:16">
      <c r="A31" s="968" t="s">
        <v>1439</v>
      </c>
      <c r="B31" s="974">
        <v>1426384.13</v>
      </c>
      <c r="C31" s="974">
        <v>123996.57</v>
      </c>
      <c r="D31" s="974">
        <v>0</v>
      </c>
      <c r="E31" s="974">
        <v>0</v>
      </c>
      <c r="F31" s="974">
        <f t="shared" si="3"/>
        <v>1550380.7</v>
      </c>
      <c r="G31" s="970"/>
      <c r="H31" s="974">
        <v>500977.5</v>
      </c>
      <c r="I31" s="974">
        <v>151958.51999999999</v>
      </c>
      <c r="J31" s="975">
        <v>0</v>
      </c>
      <c r="K31" s="974">
        <f t="shared" si="4"/>
        <v>652936.02</v>
      </c>
      <c r="L31" s="970"/>
      <c r="M31" s="974">
        <f>+F31-K31</f>
        <v>897444.67999999993</v>
      </c>
      <c r="N31" s="978">
        <v>0</v>
      </c>
      <c r="O31" s="973"/>
    </row>
    <row r="32" spans="1:16">
      <c r="A32" s="968" t="s">
        <v>1471</v>
      </c>
      <c r="B32" s="974"/>
      <c r="C32" s="974">
        <v>8493.8700000000008</v>
      </c>
      <c r="D32" s="974">
        <v>0</v>
      </c>
      <c r="E32" s="974">
        <v>0</v>
      </c>
      <c r="F32" s="974">
        <f t="shared" si="3"/>
        <v>8493.8700000000008</v>
      </c>
      <c r="G32" s="970"/>
      <c r="H32" s="974"/>
      <c r="I32" s="974"/>
      <c r="J32" s="975">
        <v>0</v>
      </c>
      <c r="K32" s="974">
        <f t="shared" si="4"/>
        <v>0</v>
      </c>
      <c r="L32" s="970"/>
      <c r="M32" s="974">
        <f t="shared" si="5"/>
        <v>8493.8700000000008</v>
      </c>
      <c r="N32" s="976">
        <v>0</v>
      </c>
      <c r="O32" s="973"/>
    </row>
    <row r="33" spans="1:15">
      <c r="A33" s="968" t="s">
        <v>1441</v>
      </c>
      <c r="B33" s="974">
        <v>1972.55</v>
      </c>
      <c r="C33" s="974">
        <v>15549</v>
      </c>
      <c r="D33" s="974">
        <v>0</v>
      </c>
      <c r="E33" s="974">
        <v>0</v>
      </c>
      <c r="F33" s="974">
        <f t="shared" si="3"/>
        <v>17521.55</v>
      </c>
      <c r="G33" s="970"/>
      <c r="H33" s="974">
        <v>629.9</v>
      </c>
      <c r="I33" s="974">
        <v>461.38</v>
      </c>
      <c r="J33" s="975">
        <v>0</v>
      </c>
      <c r="K33" s="974">
        <f t="shared" si="4"/>
        <v>1091.28</v>
      </c>
      <c r="L33" s="970"/>
      <c r="M33" s="974">
        <f t="shared" si="5"/>
        <v>16430.27</v>
      </c>
      <c r="N33" s="976">
        <v>0</v>
      </c>
      <c r="O33" s="973"/>
    </row>
    <row r="34" spans="1:15">
      <c r="A34" s="968" t="s">
        <v>1442</v>
      </c>
      <c r="B34" s="979"/>
      <c r="C34" s="979">
        <v>2342.08</v>
      </c>
      <c r="D34" s="979">
        <v>0</v>
      </c>
      <c r="E34" s="979">
        <v>0</v>
      </c>
      <c r="F34" s="979">
        <f t="shared" si="3"/>
        <v>2342.08</v>
      </c>
      <c r="G34" s="970"/>
      <c r="H34" s="979"/>
      <c r="I34" s="979">
        <v>89.83</v>
      </c>
      <c r="J34" s="980">
        <v>0</v>
      </c>
      <c r="K34" s="979">
        <f t="shared" si="4"/>
        <v>89.83</v>
      </c>
      <c r="L34" s="970"/>
      <c r="M34" s="979">
        <f t="shared" si="5"/>
        <v>2252.25</v>
      </c>
      <c r="N34" s="981">
        <v>0</v>
      </c>
      <c r="O34" s="973"/>
    </row>
    <row r="35" spans="1:15">
      <c r="A35" s="986"/>
      <c r="B35" s="988"/>
      <c r="C35" s="988"/>
      <c r="D35" s="988"/>
      <c r="E35" s="988"/>
      <c r="F35" s="988"/>
      <c r="G35" s="988"/>
      <c r="H35" s="988"/>
      <c r="I35" s="988"/>
      <c r="J35" s="989"/>
      <c r="K35" s="988"/>
      <c r="L35" s="988"/>
      <c r="M35" s="988"/>
      <c r="N35" s="990"/>
      <c r="O35" s="987"/>
    </row>
    <row r="36" spans="1:15">
      <c r="A36" s="950" t="s">
        <v>3011</v>
      </c>
      <c r="B36" s="965">
        <f>B26+B21+B8</f>
        <v>53637354.339999996</v>
      </c>
      <c r="C36" s="965">
        <f>C26+C21+C8</f>
        <v>87873151.13000001</v>
      </c>
      <c r="D36" s="965">
        <f>D26+D21+D8</f>
        <v>2171838</v>
      </c>
      <c r="E36" s="965">
        <f>E26+E21+E8</f>
        <v>0</v>
      </c>
      <c r="F36" s="965">
        <f>F26+F21+F8</f>
        <v>143682343.47</v>
      </c>
      <c r="G36" s="965"/>
      <c r="H36" s="965">
        <f>H26+H21+H8</f>
        <v>19028830.600000001</v>
      </c>
      <c r="I36" s="965">
        <f>I26+I21+I8</f>
        <v>3492914.3</v>
      </c>
      <c r="J36" s="965">
        <f>J26+J21+J8</f>
        <v>0</v>
      </c>
      <c r="K36" s="965">
        <f>K26+K21+K8</f>
        <v>22521744.900000002</v>
      </c>
      <c r="L36" s="965"/>
      <c r="M36" s="965">
        <f>M26+M21+M8</f>
        <v>121160598.57000001</v>
      </c>
      <c r="N36" s="966">
        <f>N26+N21+N8</f>
        <v>0</v>
      </c>
      <c r="O36" s="967"/>
    </row>
    <row r="37" spans="1:15">
      <c r="A37" s="991"/>
      <c r="B37" s="992"/>
      <c r="C37" s="992"/>
      <c r="D37" s="992"/>
      <c r="E37" s="992"/>
      <c r="F37" s="992"/>
      <c r="G37" s="992"/>
      <c r="H37" s="992"/>
      <c r="I37" s="1431"/>
      <c r="J37" s="1431"/>
      <c r="K37" s="992"/>
      <c r="L37" s="992"/>
      <c r="M37" s="992"/>
      <c r="N37" s="993"/>
      <c r="O37" s="994"/>
    </row>
    <row r="38" spans="1:15">
      <c r="B38" s="995" t="s">
        <v>1498</v>
      </c>
      <c r="C38" s="996"/>
      <c r="D38" s="996"/>
      <c r="E38" s="996"/>
      <c r="F38" s="996"/>
      <c r="G38" s="996"/>
      <c r="H38" s="996"/>
      <c r="I38" s="996"/>
      <c r="J38" s="996"/>
      <c r="K38" s="996"/>
      <c r="L38" s="996"/>
      <c r="M38" s="996"/>
      <c r="N38" s="997"/>
    </row>
    <row r="39" spans="1:15">
      <c r="C39" s="864">
        <f>C36+D36</f>
        <v>90044989.13000001</v>
      </c>
      <c r="E39" s="864">
        <f>D36+C36</f>
        <v>90044989.13000001</v>
      </c>
    </row>
    <row r="40" spans="1:15">
      <c r="B40" s="864">
        <f>54567354.34-B36</f>
        <v>930000.00000000745</v>
      </c>
      <c r="C40" s="864">
        <f>4555117.3+83318034.04-C36</f>
        <v>0.20999999344348907</v>
      </c>
      <c r="D40" s="864">
        <f>2171838-D36</f>
        <v>0</v>
      </c>
      <c r="H40" s="864">
        <f>19316831.02-H36</f>
        <v>288000.41999999806</v>
      </c>
      <c r="I40" s="864">
        <f>3528914.17-I36</f>
        <v>35999.870000000112</v>
      </c>
      <c r="K40" s="864">
        <f>22845745.19-K36</f>
        <v>324000.28999999911</v>
      </c>
      <c r="M40" s="864">
        <f>121766598.49-M36</f>
        <v>605999.91999998689</v>
      </c>
    </row>
    <row r="42" spans="1:15">
      <c r="B42" s="864">
        <f>B36-H36</f>
        <v>34608523.739999995</v>
      </c>
      <c r="I42" s="864">
        <v>3501814.37</v>
      </c>
      <c r="J42" s="864" t="s">
        <v>1443</v>
      </c>
    </row>
    <row r="43" spans="1:15">
      <c r="C43" s="864">
        <f>83318034.04+4555117.3+2171838</f>
        <v>90044989.340000004</v>
      </c>
      <c r="I43" s="809">
        <f>I36-I42</f>
        <v>-8900.070000000298</v>
      </c>
    </row>
    <row r="44" spans="1:15">
      <c r="C44" s="864">
        <f>C43-C39</f>
        <v>0.20999999344348907</v>
      </c>
      <c r="I44" s="809">
        <v>26367.759999999998</v>
      </c>
      <c r="J44" s="864" t="s">
        <v>1444</v>
      </c>
    </row>
    <row r="45" spans="1:15">
      <c r="I45" s="809">
        <f>I43-I44</f>
        <v>-35267.830000000293</v>
      </c>
      <c r="K45" s="864">
        <v>10337629.58</v>
      </c>
    </row>
    <row r="46" spans="1:15">
      <c r="K46" s="864">
        <v>2065723.4</v>
      </c>
    </row>
    <row r="47" spans="1:15">
      <c r="I47" s="809">
        <v>412.05</v>
      </c>
      <c r="K47" s="864">
        <v>10442392.23</v>
      </c>
    </row>
    <row r="48" spans="1:15">
      <c r="I48" s="809">
        <v>320</v>
      </c>
      <c r="K48" s="864">
        <f>SUM(K45:K47)</f>
        <v>22845745.210000001</v>
      </c>
    </row>
    <row r="49" spans="9:10">
      <c r="I49" s="809">
        <f>SUM(I47:I48)</f>
        <v>732.05</v>
      </c>
    </row>
    <row r="51" spans="9:10">
      <c r="I51" s="864">
        <v>3528502</v>
      </c>
    </row>
    <row r="52" spans="9:10">
      <c r="I52" s="864">
        <f>I36-I51</f>
        <v>-35587.700000000186</v>
      </c>
    </row>
    <row r="57" spans="9:10">
      <c r="I57" s="864">
        <v>3501814.37</v>
      </c>
      <c r="J57" s="864" t="s">
        <v>1443</v>
      </c>
    </row>
    <row r="58" spans="9:10">
      <c r="I58" s="864">
        <f>I44</f>
        <v>26367.759999999998</v>
      </c>
      <c r="J58" s="864" t="str">
        <f>J44</f>
        <v>Jnl Bl 131</v>
      </c>
    </row>
    <row r="59" spans="9:10">
      <c r="I59" s="864">
        <f>I47</f>
        <v>412.05</v>
      </c>
    </row>
    <row r="60" spans="9:10">
      <c r="I60" s="864">
        <v>320</v>
      </c>
    </row>
    <row r="61" spans="9:10" ht="13.5" thickBot="1">
      <c r="I61" s="998">
        <f>SUM(I57:I60)</f>
        <v>3528914.1799999997</v>
      </c>
    </row>
    <row r="62" spans="9:10" ht="13.5" thickTop="1">
      <c r="I62" s="864">
        <f>I61-I36</f>
        <v>35999.879999999888</v>
      </c>
    </row>
  </sheetData>
  <mergeCells count="6">
    <mergeCell ref="I37:J37"/>
    <mergeCell ref="A1:N1"/>
    <mergeCell ref="A2:N2"/>
    <mergeCell ref="A3:N3"/>
    <mergeCell ref="B5:F5"/>
    <mergeCell ref="H5:K5"/>
  </mergeCells>
  <phoneticPr fontId="0" type="noConversion"/>
  <printOptions horizontalCentered="1"/>
  <pageMargins left="0.6692913385826772" right="0.39370078740157483" top="0.98425196850393704" bottom="0.98425196850393704" header="0.51181102362204722" footer="0.51181102362204722"/>
  <pageSetup scale="73" orientation="landscape" r:id="rId1"/>
  <headerFooter>
    <oddHeader>&amp;C FINANCIAL STATEMENTS: MUSINA LOCAL MUNICIPALITY</oddHeader>
    <oddFooter>&amp;RPage &amp;P</oddFooter>
  </headerFooter>
</worksheet>
</file>

<file path=xl/worksheets/sheet23.xml><?xml version="1.0" encoding="utf-8"?>
<worksheet xmlns="http://schemas.openxmlformats.org/spreadsheetml/2006/main" xmlns:r="http://schemas.openxmlformats.org/officeDocument/2006/relationships">
  <sheetPr>
    <pageSetUpPr fitToPage="1"/>
  </sheetPr>
  <dimension ref="A1:Q63"/>
  <sheetViews>
    <sheetView showGridLines="0" view="pageBreakPreview" topLeftCell="A5" zoomScaleSheetLayoutView="100" workbookViewId="0">
      <pane xSplit="1" ySplit="2" topLeftCell="B7" activePane="bottomRight" state="frozen"/>
      <selection activeCell="A14" sqref="A14"/>
      <selection pane="topRight" activeCell="A14" sqref="A14"/>
      <selection pane="bottomLeft" activeCell="A14" sqref="A14"/>
      <selection pane="bottomRight" activeCell="A14" sqref="A14"/>
    </sheetView>
  </sheetViews>
  <sheetFormatPr defaultRowHeight="12.75"/>
  <cols>
    <col min="1" max="1" width="19.140625" style="205" bestFit="1" customWidth="1"/>
    <col min="2" max="2" width="12.85546875" style="357" bestFit="1" customWidth="1"/>
    <col min="3" max="3" width="13.42578125" style="357" customWidth="1"/>
    <col min="4" max="4" width="11.7109375" style="357" bestFit="1" customWidth="1"/>
    <col min="5" max="5" width="11.140625" style="357" bestFit="1" customWidth="1"/>
    <col min="6" max="6" width="12.85546875" style="357" bestFit="1" customWidth="1"/>
    <col min="7" max="7" width="1.42578125" style="357" customWidth="1"/>
    <col min="8" max="8" width="12.85546875" style="357" bestFit="1" customWidth="1"/>
    <col min="9" max="9" width="12" style="357" bestFit="1" customWidth="1"/>
    <col min="10" max="10" width="11.140625" style="357" bestFit="1" customWidth="1"/>
    <col min="11" max="11" width="12.28515625" style="357" bestFit="1" customWidth="1"/>
    <col min="12" max="12" width="1.140625" style="357" customWidth="1"/>
    <col min="13" max="13" width="12.5703125" style="357" bestFit="1" customWidth="1"/>
    <col min="14" max="14" width="1.42578125" style="357" customWidth="1"/>
    <col min="15" max="15" width="12.5703125" style="357" bestFit="1" customWidth="1"/>
    <col min="16" max="16" width="3" style="205" customWidth="1"/>
    <col min="17" max="17" width="14" style="205" bestFit="1" customWidth="1"/>
    <col min="18" max="16384" width="9.140625" style="205"/>
  </cols>
  <sheetData>
    <row r="1" spans="1:16">
      <c r="A1" s="1436" t="s">
        <v>1776</v>
      </c>
      <c r="B1" s="1436"/>
      <c r="C1" s="1436"/>
      <c r="D1" s="1436"/>
      <c r="E1" s="1436"/>
      <c r="F1" s="1436"/>
      <c r="G1" s="1436"/>
      <c r="H1" s="1436"/>
      <c r="I1" s="1436"/>
      <c r="J1" s="1436"/>
      <c r="K1" s="1436"/>
      <c r="L1" s="1436"/>
      <c r="M1" s="1436"/>
      <c r="N1" s="1436"/>
      <c r="O1" s="1436"/>
    </row>
    <row r="2" spans="1:16">
      <c r="A2" s="1436" t="s">
        <v>1777</v>
      </c>
      <c r="B2" s="1436"/>
      <c r="C2" s="1436"/>
      <c r="D2" s="1436"/>
      <c r="E2" s="1436"/>
      <c r="F2" s="1436"/>
      <c r="G2" s="1436"/>
      <c r="H2" s="1436"/>
      <c r="I2" s="1436"/>
      <c r="J2" s="1436"/>
      <c r="K2" s="1436"/>
      <c r="L2" s="1436"/>
      <c r="M2" s="1436"/>
      <c r="N2" s="1436"/>
      <c r="O2" s="1436"/>
    </row>
    <row r="3" spans="1:16">
      <c r="A3" s="1436" t="s">
        <v>3090</v>
      </c>
      <c r="B3" s="1436"/>
      <c r="C3" s="1436"/>
      <c r="D3" s="1436"/>
      <c r="E3" s="1436"/>
      <c r="F3" s="1436"/>
      <c r="G3" s="1436"/>
      <c r="H3" s="1436"/>
      <c r="I3" s="1436"/>
      <c r="J3" s="1436"/>
      <c r="K3" s="1436"/>
      <c r="L3" s="1436"/>
      <c r="M3" s="1436"/>
      <c r="N3" s="1436"/>
      <c r="O3" s="1436"/>
    </row>
    <row r="5" spans="1:16">
      <c r="A5" s="599"/>
      <c r="B5" s="1437" t="s">
        <v>1085</v>
      </c>
      <c r="C5" s="1437"/>
      <c r="D5" s="1437"/>
      <c r="E5" s="1437"/>
      <c r="F5" s="1437"/>
      <c r="G5" s="600"/>
      <c r="H5" s="1437" t="s">
        <v>1086</v>
      </c>
      <c r="I5" s="1437"/>
      <c r="J5" s="1437"/>
      <c r="K5" s="1437"/>
      <c r="L5" s="600"/>
      <c r="M5" s="600"/>
      <c r="N5" s="600"/>
      <c r="O5" s="1438"/>
      <c r="P5" s="1439"/>
    </row>
    <row r="6" spans="1:16" ht="27">
      <c r="A6" s="590"/>
      <c r="B6" s="585" t="s">
        <v>1087</v>
      </c>
      <c r="C6" s="585" t="s">
        <v>1088</v>
      </c>
      <c r="D6" s="585" t="s">
        <v>1089</v>
      </c>
      <c r="E6" s="585" t="s">
        <v>1424</v>
      </c>
      <c r="F6" s="585" t="s">
        <v>1090</v>
      </c>
      <c r="G6" s="588"/>
      <c r="H6" s="585" t="s">
        <v>1091</v>
      </c>
      <c r="I6" s="585" t="s">
        <v>1092</v>
      </c>
      <c r="J6" s="585" t="s">
        <v>1424</v>
      </c>
      <c r="K6" s="585" t="s">
        <v>1090</v>
      </c>
      <c r="L6" s="588"/>
      <c r="M6" s="585" t="s">
        <v>1093</v>
      </c>
      <c r="N6" s="588"/>
      <c r="O6" s="585" t="s">
        <v>1425</v>
      </c>
      <c r="P6" s="601"/>
    </row>
    <row r="7" spans="1:16">
      <c r="A7" s="586"/>
      <c r="B7" s="587" t="s">
        <v>3386</v>
      </c>
      <c r="C7" s="587" t="s">
        <v>3386</v>
      </c>
      <c r="D7" s="587"/>
      <c r="E7" s="587" t="s">
        <v>3386</v>
      </c>
      <c r="F7" s="587" t="s">
        <v>3386</v>
      </c>
      <c r="G7" s="587"/>
      <c r="H7" s="587" t="s">
        <v>3386</v>
      </c>
      <c r="I7" s="587" t="s">
        <v>3386</v>
      </c>
      <c r="J7" s="587" t="s">
        <v>3386</v>
      </c>
      <c r="K7" s="587" t="s">
        <v>3386</v>
      </c>
      <c r="L7" s="587"/>
      <c r="M7" s="587" t="s">
        <v>3386</v>
      </c>
      <c r="N7" s="587"/>
      <c r="O7" s="587" t="s">
        <v>3386</v>
      </c>
      <c r="P7" s="589"/>
    </row>
    <row r="8" spans="1:16">
      <c r="A8" s="590" t="s">
        <v>1426</v>
      </c>
      <c r="B8" s="591">
        <f>B9</f>
        <v>596808.68000000005</v>
      </c>
      <c r="C8" s="591">
        <f>C9</f>
        <v>111546.95</v>
      </c>
      <c r="D8" s="591">
        <f>D9</f>
        <v>0</v>
      </c>
      <c r="E8" s="591">
        <f>E9</f>
        <v>0</v>
      </c>
      <c r="F8" s="591">
        <f>F9</f>
        <v>708355.63</v>
      </c>
      <c r="G8" s="591"/>
      <c r="H8" s="591">
        <f>H9</f>
        <v>281506.59999999998</v>
      </c>
      <c r="I8" s="591">
        <f>I9</f>
        <v>81468.210000000006</v>
      </c>
      <c r="J8" s="591">
        <f>J9</f>
        <v>0</v>
      </c>
      <c r="K8" s="591">
        <f>K9</f>
        <v>362974.81</v>
      </c>
      <c r="L8" s="591"/>
      <c r="M8" s="591">
        <f>M9</f>
        <v>345380.82</v>
      </c>
      <c r="N8" s="591"/>
      <c r="O8" s="591">
        <f>O9</f>
        <v>0</v>
      </c>
      <c r="P8" s="598"/>
    </row>
    <row r="9" spans="1:16">
      <c r="A9" s="592" t="s">
        <v>1427</v>
      </c>
      <c r="B9" s="602">
        <v>596808.68000000005</v>
      </c>
      <c r="C9" s="602">
        <v>111546.95</v>
      </c>
      <c r="D9" s="602">
        <v>0</v>
      </c>
      <c r="E9" s="602">
        <v>0</v>
      </c>
      <c r="F9" s="602">
        <f>+B9+C9+D9-E9</f>
        <v>708355.63</v>
      </c>
      <c r="G9" s="594"/>
      <c r="H9" s="602">
        <v>281506.59999999998</v>
      </c>
      <c r="I9" s="602">
        <v>81468.210000000006</v>
      </c>
      <c r="J9" s="602">
        <v>0</v>
      </c>
      <c r="K9" s="602">
        <f>+H9+I9-J9</f>
        <v>362974.81</v>
      </c>
      <c r="L9" s="594"/>
      <c r="M9" s="602">
        <f>+F9-K9</f>
        <v>345380.82</v>
      </c>
      <c r="N9" s="594"/>
      <c r="O9" s="602">
        <v>0</v>
      </c>
      <c r="P9" s="603"/>
    </row>
    <row r="10" spans="1:16" ht="18">
      <c r="A10" s="590" t="s">
        <v>1428</v>
      </c>
      <c r="B10" s="591">
        <f>SUM(B11:B23)</f>
        <v>30488642.940000001</v>
      </c>
      <c r="C10" s="591">
        <f>SUM(C11:C23)</f>
        <v>5031535.05</v>
      </c>
      <c r="D10" s="591">
        <f>SUM(D11:D23)</f>
        <v>0</v>
      </c>
      <c r="E10" s="591">
        <f>SUM(E11:E23)</f>
        <v>0</v>
      </c>
      <c r="F10" s="591">
        <f>SUM(F11:F23)</f>
        <v>35520177.990000002</v>
      </c>
      <c r="G10" s="591"/>
      <c r="H10" s="591">
        <f>SUM(H11:H23)</f>
        <v>12660608.030000001</v>
      </c>
      <c r="I10" s="591">
        <f>SUM(I11:I23)</f>
        <v>2333568.75</v>
      </c>
      <c r="J10" s="591">
        <f>SUM(J11:J23)</f>
        <v>0</v>
      </c>
      <c r="K10" s="591">
        <f>SUM(K11:K23)</f>
        <v>14994176.780000001</v>
      </c>
      <c r="L10" s="591"/>
      <c r="M10" s="591">
        <f>SUM(M11:M23)</f>
        <v>20526001.210000005</v>
      </c>
      <c r="N10" s="591"/>
      <c r="O10" s="591">
        <f>SUM(O11:O23)</f>
        <v>123188</v>
      </c>
      <c r="P10" s="598"/>
    </row>
    <row r="11" spans="1:16">
      <c r="A11" s="592" t="s">
        <v>1429</v>
      </c>
      <c r="B11" s="593">
        <v>2443721.54</v>
      </c>
      <c r="C11" s="593">
        <v>594831.30000000005</v>
      </c>
      <c r="D11" s="593">
        <v>0</v>
      </c>
      <c r="E11" s="593">
        <v>0</v>
      </c>
      <c r="F11" s="593">
        <f>+B11+C11+D11-E11</f>
        <v>3038552.84</v>
      </c>
      <c r="G11" s="594"/>
      <c r="H11" s="593">
        <v>1632338.08</v>
      </c>
      <c r="I11" s="593">
        <v>275681.61</v>
      </c>
      <c r="J11" s="593">
        <v>0</v>
      </c>
      <c r="K11" s="593">
        <f>+H11+I11-J11</f>
        <v>1908019.69</v>
      </c>
      <c r="L11" s="594"/>
      <c r="M11" s="593">
        <f>+F11-K11</f>
        <v>1130533.1499999999</v>
      </c>
      <c r="N11" s="594"/>
      <c r="O11" s="593">
        <v>47413</v>
      </c>
      <c r="P11" s="603"/>
    </row>
    <row r="12" spans="1:16">
      <c r="A12" s="592" t="s">
        <v>1430</v>
      </c>
      <c r="B12" s="595">
        <v>199300.91</v>
      </c>
      <c r="C12" s="595">
        <v>2447630.1800000002</v>
      </c>
      <c r="D12" s="595">
        <v>0</v>
      </c>
      <c r="E12" s="595">
        <v>0</v>
      </c>
      <c r="F12" s="595">
        <f>+B12+C12+D12-E12</f>
        <v>2646931.0900000003</v>
      </c>
      <c r="G12" s="594"/>
      <c r="H12" s="595">
        <v>52073.01</v>
      </c>
      <c r="I12" s="595">
        <v>173704.29</v>
      </c>
      <c r="J12" s="595">
        <v>0</v>
      </c>
      <c r="K12" s="595">
        <f>+H12+I12-J12</f>
        <v>225777.30000000002</v>
      </c>
      <c r="L12" s="594"/>
      <c r="M12" s="595">
        <f>+F12-K12</f>
        <v>2421153.7900000005</v>
      </c>
      <c r="N12" s="594"/>
      <c r="O12" s="595">
        <v>75775</v>
      </c>
      <c r="P12" s="603"/>
    </row>
    <row r="13" spans="1:16">
      <c r="A13" s="592" t="s">
        <v>1749</v>
      </c>
      <c r="B13" s="595">
        <v>16924.830000000002</v>
      </c>
      <c r="C13" s="595">
        <v>0</v>
      </c>
      <c r="D13" s="595">
        <v>0</v>
      </c>
      <c r="E13" s="595">
        <v>0</v>
      </c>
      <c r="F13" s="595">
        <f>+B13+C13+D13-E13</f>
        <v>16924.830000000002</v>
      </c>
      <c r="G13" s="594"/>
      <c r="H13" s="595">
        <v>3570.14</v>
      </c>
      <c r="I13" s="595">
        <v>2744.5</v>
      </c>
      <c r="J13" s="595">
        <v>0</v>
      </c>
      <c r="K13" s="595">
        <f>+H13+I13-J13</f>
        <v>6314.6399999999994</v>
      </c>
      <c r="L13" s="594"/>
      <c r="M13" s="595">
        <f>+F13-K13</f>
        <v>10610.190000000002</v>
      </c>
      <c r="N13" s="594"/>
      <c r="O13" s="595">
        <v>0</v>
      </c>
      <c r="P13" s="603"/>
    </row>
    <row r="14" spans="1:16">
      <c r="A14" s="592" t="s">
        <v>1750</v>
      </c>
      <c r="B14" s="595">
        <v>0</v>
      </c>
      <c r="C14" s="595">
        <v>0</v>
      </c>
      <c r="D14" s="595">
        <v>0</v>
      </c>
      <c r="E14" s="595">
        <v>0</v>
      </c>
      <c r="F14" s="595">
        <f>+B14+C14+D14-E14</f>
        <v>0</v>
      </c>
      <c r="G14" s="594"/>
      <c r="H14" s="595">
        <v>0</v>
      </c>
      <c r="I14" s="595">
        <v>0</v>
      </c>
      <c r="J14" s="595">
        <v>0</v>
      </c>
      <c r="K14" s="595">
        <f>+H14+I14-J14</f>
        <v>0</v>
      </c>
      <c r="L14" s="594"/>
      <c r="M14" s="595">
        <f>+F14-K14</f>
        <v>0</v>
      </c>
      <c r="N14" s="594"/>
      <c r="O14" s="595">
        <v>0</v>
      </c>
      <c r="P14" s="603"/>
    </row>
    <row r="15" spans="1:16">
      <c r="A15" s="592" t="s">
        <v>1445</v>
      </c>
      <c r="B15" s="595">
        <v>237658.56</v>
      </c>
      <c r="C15" s="595">
        <v>0</v>
      </c>
      <c r="D15" s="595">
        <v>0</v>
      </c>
      <c r="E15" s="595">
        <v>0</v>
      </c>
      <c r="F15" s="595">
        <f t="shared" ref="F15:F22" si="0">+B15+C15+D15-E15</f>
        <v>237658.56</v>
      </c>
      <c r="G15" s="594"/>
      <c r="H15" s="595">
        <v>167640.09</v>
      </c>
      <c r="I15" s="595">
        <v>26737.35</v>
      </c>
      <c r="J15" s="595">
        <v>0</v>
      </c>
      <c r="K15" s="595">
        <f t="shared" ref="K15:K22" si="1">+H15+I15-J15</f>
        <v>194377.44</v>
      </c>
      <c r="L15" s="594"/>
      <c r="M15" s="595">
        <f t="shared" ref="M15:M22" si="2">+F15-K15</f>
        <v>43281.119999999995</v>
      </c>
      <c r="N15" s="594"/>
      <c r="O15" s="595">
        <v>0</v>
      </c>
      <c r="P15" s="603"/>
    </row>
    <row r="16" spans="1:16">
      <c r="A16" s="592" t="s">
        <v>1446</v>
      </c>
      <c r="B16" s="595">
        <v>3125</v>
      </c>
      <c r="C16" s="595">
        <v>7808.88</v>
      </c>
      <c r="D16" s="595">
        <v>0</v>
      </c>
      <c r="E16" s="595">
        <v>0</v>
      </c>
      <c r="F16" s="595">
        <f t="shared" si="0"/>
        <v>10933.880000000001</v>
      </c>
      <c r="G16" s="594"/>
      <c r="H16" s="595">
        <v>390.41</v>
      </c>
      <c r="I16" s="595">
        <v>1026.82</v>
      </c>
      <c r="J16" s="595">
        <v>0</v>
      </c>
      <c r="K16" s="595">
        <f t="shared" si="1"/>
        <v>1417.23</v>
      </c>
      <c r="L16" s="594"/>
      <c r="M16" s="595">
        <f t="shared" si="2"/>
        <v>9516.6500000000015</v>
      </c>
      <c r="N16" s="594"/>
      <c r="O16" s="595">
        <v>0</v>
      </c>
      <c r="P16" s="603"/>
    </row>
    <row r="17" spans="1:17">
      <c r="A17" s="592" t="s">
        <v>1447</v>
      </c>
      <c r="B17" s="595">
        <v>13954465.4</v>
      </c>
      <c r="C17" s="595">
        <v>789531.04</v>
      </c>
      <c r="D17" s="595">
        <v>0</v>
      </c>
      <c r="E17" s="595">
        <v>0</v>
      </c>
      <c r="F17" s="595">
        <f t="shared" si="0"/>
        <v>14743996.440000001</v>
      </c>
      <c r="G17" s="594"/>
      <c r="H17" s="595">
        <v>3106507.08</v>
      </c>
      <c r="I17" s="595">
        <v>487529.01</v>
      </c>
      <c r="J17" s="595">
        <v>0</v>
      </c>
      <c r="K17" s="595">
        <f t="shared" si="1"/>
        <v>3594036.09</v>
      </c>
      <c r="L17" s="594"/>
      <c r="M17" s="595">
        <f t="shared" si="2"/>
        <v>11149960.350000001</v>
      </c>
      <c r="N17" s="594"/>
      <c r="O17" s="595">
        <v>0</v>
      </c>
      <c r="P17" s="603"/>
    </row>
    <row r="18" spans="1:17">
      <c r="A18" s="592" t="s">
        <v>1815</v>
      </c>
      <c r="B18" s="595">
        <v>96726.46</v>
      </c>
      <c r="C18" s="595">
        <v>0</v>
      </c>
      <c r="D18" s="595">
        <v>0</v>
      </c>
      <c r="E18" s="595">
        <v>0</v>
      </c>
      <c r="F18" s="595">
        <f t="shared" si="0"/>
        <v>96726.46</v>
      </c>
      <c r="G18" s="594"/>
      <c r="H18" s="595">
        <v>61106.35</v>
      </c>
      <c r="I18" s="595">
        <v>13598.94</v>
      </c>
      <c r="J18" s="595">
        <v>0</v>
      </c>
      <c r="K18" s="595">
        <f t="shared" si="1"/>
        <v>74705.289999999994</v>
      </c>
      <c r="L18" s="594"/>
      <c r="M18" s="595">
        <f t="shared" si="2"/>
        <v>22021.170000000013</v>
      </c>
      <c r="N18" s="594"/>
      <c r="O18" s="595">
        <v>0</v>
      </c>
      <c r="P18" s="603"/>
    </row>
    <row r="19" spans="1:17">
      <c r="A19" s="592" t="s">
        <v>1448</v>
      </c>
      <c r="B19" s="595">
        <v>12189165.98</v>
      </c>
      <c r="C19" s="595">
        <v>1114253.1000000001</v>
      </c>
      <c r="D19" s="595">
        <v>0</v>
      </c>
      <c r="E19" s="595">
        <v>0</v>
      </c>
      <c r="F19" s="595">
        <f t="shared" si="0"/>
        <v>13303419.08</v>
      </c>
      <c r="G19" s="594"/>
      <c r="H19" s="595">
        <v>6859225.0499999998</v>
      </c>
      <c r="I19" s="595">
        <v>1174658</v>
      </c>
      <c r="J19" s="595">
        <v>0</v>
      </c>
      <c r="K19" s="595">
        <f t="shared" si="1"/>
        <v>8033883.0499999998</v>
      </c>
      <c r="L19" s="594"/>
      <c r="M19" s="595">
        <f t="shared" si="2"/>
        <v>5269536.03</v>
      </c>
      <c r="N19" s="594"/>
      <c r="O19" s="595">
        <v>0</v>
      </c>
      <c r="P19" s="603"/>
    </row>
    <row r="20" spans="1:17">
      <c r="A20" s="592" t="s">
        <v>617</v>
      </c>
      <c r="B20" s="595">
        <v>3850.29</v>
      </c>
      <c r="C20" s="595">
        <v>0</v>
      </c>
      <c r="D20" s="595">
        <v>0</v>
      </c>
      <c r="E20" s="595">
        <v>0</v>
      </c>
      <c r="F20" s="595">
        <f t="shared" si="0"/>
        <v>3850.29</v>
      </c>
      <c r="G20" s="594"/>
      <c r="H20" s="595">
        <v>1675.72</v>
      </c>
      <c r="I20" s="595">
        <v>418.93</v>
      </c>
      <c r="J20" s="595">
        <v>0</v>
      </c>
      <c r="K20" s="595">
        <f t="shared" si="1"/>
        <v>2094.65</v>
      </c>
      <c r="L20" s="594"/>
      <c r="M20" s="595">
        <f t="shared" si="2"/>
        <v>1755.6399999999999</v>
      </c>
      <c r="N20" s="594"/>
      <c r="O20" s="595">
        <v>0</v>
      </c>
      <c r="P20" s="603"/>
    </row>
    <row r="21" spans="1:17">
      <c r="A21" s="592" t="s">
        <v>1035</v>
      </c>
      <c r="B21" s="595">
        <v>329678.73</v>
      </c>
      <c r="C21" s="595">
        <v>77480.55</v>
      </c>
      <c r="D21" s="595">
        <v>0</v>
      </c>
      <c r="E21" s="595">
        <v>0</v>
      </c>
      <c r="F21" s="595">
        <f t="shared" si="0"/>
        <v>407159.27999999997</v>
      </c>
      <c r="G21" s="594"/>
      <c r="H21" s="595">
        <v>144485.41</v>
      </c>
      <c r="I21" s="595">
        <v>57177.36</v>
      </c>
      <c r="J21" s="595">
        <v>0</v>
      </c>
      <c r="K21" s="595">
        <f t="shared" si="1"/>
        <v>201662.77000000002</v>
      </c>
      <c r="L21" s="594"/>
      <c r="M21" s="595">
        <f t="shared" si="2"/>
        <v>205496.50999999995</v>
      </c>
      <c r="N21" s="594"/>
      <c r="O21" s="595">
        <v>0</v>
      </c>
      <c r="P21" s="603"/>
    </row>
    <row r="22" spans="1:17">
      <c r="A22" s="592" t="s">
        <v>620</v>
      </c>
      <c r="B22" s="595">
        <v>1014025.24</v>
      </c>
      <c r="C22" s="595">
        <v>0</v>
      </c>
      <c r="D22" s="595">
        <v>0</v>
      </c>
      <c r="E22" s="595">
        <v>0</v>
      </c>
      <c r="F22" s="595">
        <f t="shared" si="0"/>
        <v>1014025.24</v>
      </c>
      <c r="G22" s="594"/>
      <c r="H22" s="595">
        <v>631596.68999999994</v>
      </c>
      <c r="I22" s="595">
        <v>120291.94</v>
      </c>
      <c r="J22" s="595">
        <v>0</v>
      </c>
      <c r="K22" s="595">
        <f t="shared" si="1"/>
        <v>751888.62999999989</v>
      </c>
      <c r="L22" s="594"/>
      <c r="M22" s="595">
        <f t="shared" si="2"/>
        <v>262136.6100000001</v>
      </c>
      <c r="N22" s="594"/>
      <c r="O22" s="595">
        <v>0</v>
      </c>
      <c r="P22" s="603"/>
    </row>
    <row r="23" spans="1:17">
      <c r="A23" s="592" t="s">
        <v>1751</v>
      </c>
      <c r="B23" s="597">
        <v>0</v>
      </c>
      <c r="C23" s="597">
        <v>0</v>
      </c>
      <c r="D23" s="597">
        <v>0</v>
      </c>
      <c r="E23" s="597">
        <v>0</v>
      </c>
      <c r="F23" s="597">
        <f>+B23+C23+D23-E23</f>
        <v>0</v>
      </c>
      <c r="G23" s="594"/>
      <c r="H23" s="597">
        <v>0</v>
      </c>
      <c r="I23" s="597">
        <v>0</v>
      </c>
      <c r="J23" s="597">
        <v>0</v>
      </c>
      <c r="K23" s="597">
        <f>+H23+I23-J23</f>
        <v>0</v>
      </c>
      <c r="L23" s="596"/>
      <c r="M23" s="597">
        <f>+F23-K23</f>
        <v>0</v>
      </c>
      <c r="N23" s="594"/>
      <c r="O23" s="597">
        <v>0</v>
      </c>
      <c r="P23" s="603"/>
    </row>
    <row r="24" spans="1:17" ht="18">
      <c r="A24" s="590" t="s">
        <v>1752</v>
      </c>
      <c r="B24" s="591">
        <f>B25</f>
        <v>8515777</v>
      </c>
      <c r="C24" s="591">
        <f>C25</f>
        <v>82223998.680000007</v>
      </c>
      <c r="D24" s="591">
        <f>D25</f>
        <v>2171838</v>
      </c>
      <c r="E24" s="591">
        <f>E25</f>
        <v>0</v>
      </c>
      <c r="F24" s="591">
        <f>F25</f>
        <v>92911613.680000007</v>
      </c>
      <c r="G24" s="591"/>
      <c r="H24" s="591">
        <f>H25</f>
        <v>2301673.87</v>
      </c>
      <c r="I24" s="591">
        <f>I25</f>
        <v>282459.23</v>
      </c>
      <c r="J24" s="591">
        <f>J25</f>
        <v>0</v>
      </c>
      <c r="K24" s="591">
        <f>K25</f>
        <v>2584133.1</v>
      </c>
      <c r="L24" s="587"/>
      <c r="M24" s="591">
        <f>M25</f>
        <v>90327480.580000013</v>
      </c>
      <c r="N24" s="591"/>
      <c r="O24" s="591">
        <f>O25</f>
        <v>0</v>
      </c>
      <c r="P24" s="598"/>
    </row>
    <row r="25" spans="1:17">
      <c r="A25" s="592" t="s">
        <v>1449</v>
      </c>
      <c r="B25" s="593">
        <v>8515777</v>
      </c>
      <c r="C25" s="593">
        <f>84395836.68-2171838</f>
        <v>82223998.680000007</v>
      </c>
      <c r="D25" s="593">
        <v>2171838</v>
      </c>
      <c r="E25" s="593">
        <v>0</v>
      </c>
      <c r="F25" s="593">
        <f>+B25+C25+D25-E25</f>
        <v>92911613.680000007</v>
      </c>
      <c r="G25" s="594"/>
      <c r="H25" s="593">
        <v>2301673.87</v>
      </c>
      <c r="I25" s="593">
        <v>282459.23</v>
      </c>
      <c r="J25" s="593">
        <v>0</v>
      </c>
      <c r="K25" s="593">
        <f>+H25+I25-J25</f>
        <v>2584133.1</v>
      </c>
      <c r="L25" s="594"/>
      <c r="M25" s="593">
        <f>+F25-K25</f>
        <v>90327480.580000013</v>
      </c>
      <c r="N25" s="594"/>
      <c r="O25" s="593">
        <v>0</v>
      </c>
      <c r="P25" s="603"/>
      <c r="Q25" s="313"/>
    </row>
    <row r="26" spans="1:17">
      <c r="A26" s="592" t="s">
        <v>1753</v>
      </c>
      <c r="B26" s="597">
        <v>0</v>
      </c>
      <c r="C26" s="597">
        <v>0</v>
      </c>
      <c r="D26" s="597">
        <v>0</v>
      </c>
      <c r="E26" s="597">
        <v>0</v>
      </c>
      <c r="F26" s="597">
        <f>+B26+C26+D26-E26</f>
        <v>0</v>
      </c>
      <c r="G26" s="594"/>
      <c r="H26" s="597">
        <v>0</v>
      </c>
      <c r="I26" s="597">
        <v>0</v>
      </c>
      <c r="J26" s="597">
        <v>0</v>
      </c>
      <c r="K26" s="597">
        <f>+H26+I26-J26</f>
        <v>0</v>
      </c>
      <c r="L26" s="594"/>
      <c r="M26" s="597">
        <f>+F26-K26</f>
        <v>0</v>
      </c>
      <c r="N26" s="594"/>
      <c r="O26" s="597">
        <v>0</v>
      </c>
      <c r="P26" s="603"/>
    </row>
    <row r="27" spans="1:17">
      <c r="A27" s="590" t="s">
        <v>1754</v>
      </c>
      <c r="B27" s="591">
        <f>SUM(B28:B30)</f>
        <v>0</v>
      </c>
      <c r="C27" s="591">
        <f>SUM(C28:C30)</f>
        <v>0</v>
      </c>
      <c r="D27" s="591">
        <f>SUM(D28:D30)</f>
        <v>0</v>
      </c>
      <c r="E27" s="591">
        <f>SUM(E28:E30)</f>
        <v>0</v>
      </c>
      <c r="F27" s="591">
        <f>SUM(F28:F30)</f>
        <v>0</v>
      </c>
      <c r="G27" s="591"/>
      <c r="H27" s="591">
        <f t="shared" ref="H27:M27" si="3">SUM(H28:H30)</f>
        <v>0</v>
      </c>
      <c r="I27" s="591">
        <f t="shared" si="3"/>
        <v>0</v>
      </c>
      <c r="J27" s="591">
        <f>SUM(J28:J30)</f>
        <v>0</v>
      </c>
      <c r="K27" s="591">
        <f t="shared" si="3"/>
        <v>0</v>
      </c>
      <c r="L27" s="591">
        <f t="shared" si="3"/>
        <v>0</v>
      </c>
      <c r="M27" s="591">
        <f t="shared" si="3"/>
        <v>0</v>
      </c>
      <c r="N27" s="591"/>
      <c r="O27" s="591">
        <f>SUM(O28:O30)</f>
        <v>56615</v>
      </c>
      <c r="P27" s="598"/>
    </row>
    <row r="28" spans="1:17">
      <c r="A28" s="592" t="s">
        <v>1755</v>
      </c>
      <c r="B28" s="593">
        <v>0</v>
      </c>
      <c r="C28" s="593">
        <v>0</v>
      </c>
      <c r="D28" s="593">
        <v>0</v>
      </c>
      <c r="E28" s="593">
        <v>0</v>
      </c>
      <c r="F28" s="593">
        <f>+B28+C28+D28-E28</f>
        <v>0</v>
      </c>
      <c r="G28" s="594"/>
      <c r="H28" s="593">
        <v>0</v>
      </c>
      <c r="I28" s="593">
        <v>0</v>
      </c>
      <c r="J28" s="593">
        <v>0</v>
      </c>
      <c r="K28" s="593">
        <f>+H28+I28-J28</f>
        <v>0</v>
      </c>
      <c r="L28" s="594"/>
      <c r="M28" s="593">
        <f>+F28-K28</f>
        <v>0</v>
      </c>
      <c r="N28" s="594"/>
      <c r="O28" s="593">
        <v>0</v>
      </c>
      <c r="P28" s="603"/>
    </row>
    <row r="29" spans="1:17">
      <c r="A29" s="592" t="s">
        <v>1756</v>
      </c>
      <c r="B29" s="595">
        <v>0</v>
      </c>
      <c r="C29" s="595">
        <v>0</v>
      </c>
      <c r="D29" s="595">
        <v>0</v>
      </c>
      <c r="E29" s="595">
        <v>0</v>
      </c>
      <c r="F29" s="595">
        <f>+B29+C29+D29-E29</f>
        <v>0</v>
      </c>
      <c r="G29" s="594"/>
      <c r="H29" s="595">
        <v>0</v>
      </c>
      <c r="I29" s="595">
        <v>0</v>
      </c>
      <c r="J29" s="595">
        <v>0</v>
      </c>
      <c r="K29" s="595">
        <f>+H29+I29-J29</f>
        <v>0</v>
      </c>
      <c r="L29" s="594"/>
      <c r="M29" s="595">
        <f>+F29-K29</f>
        <v>0</v>
      </c>
      <c r="N29" s="594"/>
      <c r="O29" s="595">
        <v>56615</v>
      </c>
      <c r="P29" s="603"/>
    </row>
    <row r="30" spans="1:17">
      <c r="A30" s="592" t="s">
        <v>1757</v>
      </c>
      <c r="B30" s="597">
        <v>0</v>
      </c>
      <c r="C30" s="597">
        <v>0</v>
      </c>
      <c r="D30" s="597">
        <v>0</v>
      </c>
      <c r="E30" s="597">
        <v>0</v>
      </c>
      <c r="F30" s="597">
        <f>+B30+C30+D30-E30</f>
        <v>0</v>
      </c>
      <c r="G30" s="594"/>
      <c r="H30" s="597">
        <v>0</v>
      </c>
      <c r="I30" s="597">
        <v>0</v>
      </c>
      <c r="J30" s="597">
        <v>0</v>
      </c>
      <c r="K30" s="597">
        <f>+H30+I30-J30</f>
        <v>0</v>
      </c>
      <c r="L30" s="594"/>
      <c r="M30" s="597">
        <f>+F30-K30</f>
        <v>0</v>
      </c>
      <c r="N30" s="594"/>
      <c r="O30" s="597">
        <v>0</v>
      </c>
      <c r="P30" s="603"/>
    </row>
    <row r="31" spans="1:17">
      <c r="A31" s="590" t="s">
        <v>1758</v>
      </c>
      <c r="B31" s="591">
        <f>SUM(B32:B34)</f>
        <v>148490.91</v>
      </c>
      <c r="C31" s="591">
        <f>SUM(C32:C34)</f>
        <v>25086.65</v>
      </c>
      <c r="D31" s="591">
        <f>SUM(D32:D34)</f>
        <v>0</v>
      </c>
      <c r="E31" s="591">
        <f>SUM(E32:E34)</f>
        <v>0</v>
      </c>
      <c r="F31" s="591">
        <f>SUM(F32:F34)</f>
        <v>173577.56</v>
      </c>
      <c r="G31" s="591"/>
      <c r="H31" s="591">
        <f>SUM(H32:H34)</f>
        <v>82671.839999999997</v>
      </c>
      <c r="I31" s="591">
        <f>SUM(I32:I34)</f>
        <v>21862.31</v>
      </c>
      <c r="J31" s="591">
        <f>SUM(J32:J34)</f>
        <v>0</v>
      </c>
      <c r="K31" s="591">
        <f>SUM(K32:K34)</f>
        <v>104534.15000000001</v>
      </c>
      <c r="L31" s="591"/>
      <c r="M31" s="591">
        <f>SUM(M32:M34)</f>
        <v>69043.409999999989</v>
      </c>
      <c r="N31" s="591"/>
      <c r="O31" s="591">
        <f>SUM(O32:O34)</f>
        <v>0</v>
      </c>
      <c r="P31" s="598"/>
    </row>
    <row r="32" spans="1:17">
      <c r="A32" s="592" t="s">
        <v>1107</v>
      </c>
      <c r="B32" s="593">
        <v>0</v>
      </c>
      <c r="C32" s="593">
        <v>0</v>
      </c>
      <c r="D32" s="593">
        <v>0</v>
      </c>
      <c r="E32" s="593">
        <v>0</v>
      </c>
      <c r="F32" s="593">
        <f>+B32+C32+D32-E32</f>
        <v>0</v>
      </c>
      <c r="G32" s="594"/>
      <c r="H32" s="593">
        <v>0</v>
      </c>
      <c r="I32" s="593">
        <v>0</v>
      </c>
      <c r="J32" s="593">
        <v>0</v>
      </c>
      <c r="K32" s="593">
        <f t="shared" ref="K32:K54" si="4">+H32+I32-J32</f>
        <v>0</v>
      </c>
      <c r="L32" s="594"/>
      <c r="M32" s="593">
        <f>+F32-K32</f>
        <v>0</v>
      </c>
      <c r="N32" s="594"/>
      <c r="O32" s="593">
        <v>0</v>
      </c>
      <c r="P32" s="603"/>
    </row>
    <row r="33" spans="1:16">
      <c r="A33" s="592" t="s">
        <v>1450</v>
      </c>
      <c r="B33" s="595">
        <v>63455.85</v>
      </c>
      <c r="C33" s="595">
        <v>25086.65</v>
      </c>
      <c r="D33" s="595">
        <v>0</v>
      </c>
      <c r="E33" s="595">
        <v>0</v>
      </c>
      <c r="F33" s="595">
        <f>+B33+C33+D33-E33</f>
        <v>88542.5</v>
      </c>
      <c r="G33" s="594"/>
      <c r="H33" s="595">
        <v>40676.050000000003</v>
      </c>
      <c r="I33" s="595">
        <v>10924.12</v>
      </c>
      <c r="J33" s="595">
        <v>0</v>
      </c>
      <c r="K33" s="595">
        <f>+H33+I33-J33</f>
        <v>51600.170000000006</v>
      </c>
      <c r="L33" s="594"/>
      <c r="M33" s="595">
        <f>+F33-K33</f>
        <v>36942.329999999994</v>
      </c>
      <c r="N33" s="594"/>
      <c r="O33" s="595">
        <v>0</v>
      </c>
      <c r="P33" s="603"/>
    </row>
    <row r="34" spans="1:16">
      <c r="A34" s="592" t="s">
        <v>1787</v>
      </c>
      <c r="B34" s="597">
        <v>85035.06</v>
      </c>
      <c r="C34" s="597">
        <v>0</v>
      </c>
      <c r="D34" s="597">
        <v>0</v>
      </c>
      <c r="E34" s="597">
        <v>0</v>
      </c>
      <c r="F34" s="597">
        <f>+B34+C34+D34-E34</f>
        <v>85035.06</v>
      </c>
      <c r="G34" s="594"/>
      <c r="H34" s="597">
        <v>41995.79</v>
      </c>
      <c r="I34" s="597">
        <v>10938.19</v>
      </c>
      <c r="J34" s="597">
        <v>0</v>
      </c>
      <c r="K34" s="597">
        <f t="shared" si="4"/>
        <v>52933.98</v>
      </c>
      <c r="L34" s="594"/>
      <c r="M34" s="597">
        <f>+F34-K34</f>
        <v>32101.079999999994</v>
      </c>
      <c r="N34" s="594"/>
      <c r="O34" s="597">
        <v>0</v>
      </c>
      <c r="P34" s="603"/>
    </row>
    <row r="35" spans="1:16" ht="18">
      <c r="A35" s="590" t="s">
        <v>1759</v>
      </c>
      <c r="B35" s="591">
        <f>SUM(B36:B39)</f>
        <v>239168.40999999997</v>
      </c>
      <c r="C35" s="591">
        <f>SUM(C36:C39)</f>
        <v>0</v>
      </c>
      <c r="D35" s="591">
        <f>SUM(D36:D39)</f>
        <v>0</v>
      </c>
      <c r="E35" s="591">
        <f>SUM(E36:E39)</f>
        <v>0</v>
      </c>
      <c r="F35" s="591">
        <f>SUM(F36:F39)</f>
        <v>239168.40999999997</v>
      </c>
      <c r="G35" s="591"/>
      <c r="H35" s="591">
        <f>SUM(H36:H39)</f>
        <v>133629.84</v>
      </c>
      <c r="I35" s="591">
        <f>SUM(I36:I39)</f>
        <v>47743.86</v>
      </c>
      <c r="J35" s="591">
        <f>SUM(J36:J39)</f>
        <v>0</v>
      </c>
      <c r="K35" s="591">
        <f>SUM(K36:K39)</f>
        <v>181373.7</v>
      </c>
      <c r="L35" s="591"/>
      <c r="M35" s="591">
        <f>SUM(M36:M39)</f>
        <v>57794.71</v>
      </c>
      <c r="N35" s="591"/>
      <c r="O35" s="591">
        <f>SUM(O36:O39)</f>
        <v>0</v>
      </c>
      <c r="P35" s="598"/>
    </row>
    <row r="36" spans="1:16">
      <c r="A36" s="592" t="s">
        <v>1760</v>
      </c>
      <c r="B36" s="593">
        <v>112330.81</v>
      </c>
      <c r="C36" s="593">
        <v>0</v>
      </c>
      <c r="D36" s="593">
        <v>0</v>
      </c>
      <c r="E36" s="593">
        <v>0</v>
      </c>
      <c r="F36" s="593">
        <f>+B36+C36+D36-E36</f>
        <v>112330.81</v>
      </c>
      <c r="G36" s="594"/>
      <c r="H36" s="593">
        <v>58190.54</v>
      </c>
      <c r="I36" s="593">
        <v>12516.27</v>
      </c>
      <c r="J36" s="593">
        <v>0</v>
      </c>
      <c r="K36" s="593">
        <f t="shared" si="4"/>
        <v>70706.81</v>
      </c>
      <c r="L36" s="594"/>
      <c r="M36" s="593">
        <f>+F36-K36</f>
        <v>41624</v>
      </c>
      <c r="N36" s="594"/>
      <c r="O36" s="593">
        <v>0</v>
      </c>
      <c r="P36" s="603"/>
    </row>
    <row r="37" spans="1:16">
      <c r="A37" s="592" t="s">
        <v>1761</v>
      </c>
      <c r="B37" s="595">
        <v>0</v>
      </c>
      <c r="C37" s="595">
        <v>0</v>
      </c>
      <c r="D37" s="595">
        <v>0</v>
      </c>
      <c r="E37" s="595">
        <v>0</v>
      </c>
      <c r="F37" s="595">
        <f>+B37+C37+D37-E37</f>
        <v>0</v>
      </c>
      <c r="G37" s="594"/>
      <c r="H37" s="595">
        <v>0</v>
      </c>
      <c r="I37" s="595">
        <v>0</v>
      </c>
      <c r="J37" s="595">
        <v>0</v>
      </c>
      <c r="K37" s="595">
        <f t="shared" si="4"/>
        <v>0</v>
      </c>
      <c r="L37" s="594"/>
      <c r="M37" s="595">
        <f>+F37-K37</f>
        <v>0</v>
      </c>
      <c r="N37" s="594"/>
      <c r="O37" s="595">
        <v>0</v>
      </c>
      <c r="P37" s="603"/>
    </row>
    <row r="38" spans="1:16">
      <c r="A38" s="592" t="s">
        <v>612</v>
      </c>
      <c r="B38" s="595">
        <v>31412.61</v>
      </c>
      <c r="C38" s="595">
        <v>0</v>
      </c>
      <c r="D38" s="595">
        <v>0</v>
      </c>
      <c r="E38" s="595">
        <v>0</v>
      </c>
      <c r="F38" s="595">
        <f>+B38+C38+D38-E38</f>
        <v>31412.61</v>
      </c>
      <c r="G38" s="594"/>
      <c r="H38" s="595">
        <v>11822.64</v>
      </c>
      <c r="I38" s="595">
        <v>3419.26</v>
      </c>
      <c r="J38" s="595">
        <v>0</v>
      </c>
      <c r="K38" s="595">
        <f>+H38+I38-J38</f>
        <v>15241.9</v>
      </c>
      <c r="L38" s="594"/>
      <c r="M38" s="595">
        <f>+F38-K38</f>
        <v>16170.710000000001</v>
      </c>
      <c r="N38" s="594"/>
      <c r="O38" s="595">
        <v>0</v>
      </c>
      <c r="P38" s="603"/>
    </row>
    <row r="39" spans="1:16">
      <c r="A39" s="592" t="s">
        <v>1762</v>
      </c>
      <c r="B39" s="597">
        <v>95424.99</v>
      </c>
      <c r="C39" s="597">
        <v>0</v>
      </c>
      <c r="D39" s="597">
        <v>0</v>
      </c>
      <c r="E39" s="597">
        <v>0</v>
      </c>
      <c r="F39" s="597">
        <f>+B39+C39+D39-E39</f>
        <v>95424.99</v>
      </c>
      <c r="G39" s="594"/>
      <c r="H39" s="597">
        <v>63616.66</v>
      </c>
      <c r="I39" s="597">
        <v>31808.33</v>
      </c>
      <c r="J39" s="597">
        <v>0</v>
      </c>
      <c r="K39" s="597">
        <f t="shared" si="4"/>
        <v>95424.99</v>
      </c>
      <c r="L39" s="594"/>
      <c r="M39" s="597">
        <f>+F39-K39</f>
        <v>0</v>
      </c>
      <c r="N39" s="594"/>
      <c r="O39" s="597">
        <v>0</v>
      </c>
      <c r="P39" s="603"/>
    </row>
    <row r="40" spans="1:16">
      <c r="A40" s="590" t="s">
        <v>1763</v>
      </c>
      <c r="B40" s="591">
        <f>SUM(B41:B42)</f>
        <v>455760.84</v>
      </c>
      <c r="C40" s="591">
        <f>SUM(C41:C42)</f>
        <v>31961.41</v>
      </c>
      <c r="D40" s="591">
        <f>SUM(D41:D42)</f>
        <v>0</v>
      </c>
      <c r="E40" s="591">
        <f>SUM(E41:E42)</f>
        <v>0</v>
      </c>
      <c r="F40" s="591">
        <f>SUM(F41:F42)</f>
        <v>487722.25</v>
      </c>
      <c r="G40" s="591"/>
      <c r="H40" s="591">
        <f t="shared" ref="H40:M40" si="5">SUM(H41:H42)</f>
        <v>194183.57</v>
      </c>
      <c r="I40" s="591">
        <f t="shared" si="5"/>
        <v>63675.72</v>
      </c>
      <c r="J40" s="591">
        <f>SUM(J41:J42)</f>
        <v>0</v>
      </c>
      <c r="K40" s="591">
        <f t="shared" si="5"/>
        <v>257859.29</v>
      </c>
      <c r="L40" s="591">
        <f t="shared" si="5"/>
        <v>0</v>
      </c>
      <c r="M40" s="591">
        <f t="shared" si="5"/>
        <v>229862.96</v>
      </c>
      <c r="N40" s="591"/>
      <c r="O40" s="591">
        <f>SUM(O41:O42)</f>
        <v>0</v>
      </c>
      <c r="P40" s="598"/>
    </row>
    <row r="41" spans="1:16">
      <c r="A41" s="592" t="s">
        <v>3010</v>
      </c>
      <c r="B41" s="593">
        <v>0</v>
      </c>
      <c r="C41" s="593">
        <v>0</v>
      </c>
      <c r="D41" s="593">
        <v>0</v>
      </c>
      <c r="E41" s="593">
        <v>0</v>
      </c>
      <c r="F41" s="593">
        <f>+B41+C41+D41-E41</f>
        <v>0</v>
      </c>
      <c r="G41" s="594"/>
      <c r="H41" s="593">
        <v>0</v>
      </c>
      <c r="I41" s="593">
        <v>0</v>
      </c>
      <c r="J41" s="593">
        <v>0</v>
      </c>
      <c r="K41" s="593">
        <v>0</v>
      </c>
      <c r="L41" s="594"/>
      <c r="M41" s="593">
        <f>+F41-K41</f>
        <v>0</v>
      </c>
      <c r="N41" s="594"/>
      <c r="O41" s="593">
        <v>0</v>
      </c>
      <c r="P41" s="603"/>
    </row>
    <row r="42" spans="1:16">
      <c r="A42" s="592" t="s">
        <v>1764</v>
      </c>
      <c r="B42" s="597">
        <v>455760.84</v>
      </c>
      <c r="C42" s="597">
        <v>31961.41</v>
      </c>
      <c r="D42" s="597">
        <v>0</v>
      </c>
      <c r="E42" s="597">
        <v>0</v>
      </c>
      <c r="F42" s="597">
        <f>+B42+C42+D42-E42</f>
        <v>487722.25</v>
      </c>
      <c r="G42" s="594"/>
      <c r="H42" s="597">
        <v>194183.57</v>
      </c>
      <c r="I42" s="597">
        <v>63675.72</v>
      </c>
      <c r="J42" s="597">
        <v>0</v>
      </c>
      <c r="K42" s="597">
        <f t="shared" si="4"/>
        <v>257859.29</v>
      </c>
      <c r="L42" s="594"/>
      <c r="M42" s="597">
        <f>+F42-K42</f>
        <v>229862.96</v>
      </c>
      <c r="N42" s="594"/>
      <c r="O42" s="597">
        <v>0</v>
      </c>
      <c r="P42" s="603"/>
    </row>
    <row r="43" spans="1:16">
      <c r="A43" s="590" t="s">
        <v>1452</v>
      </c>
      <c r="B43" s="591">
        <f>B44</f>
        <v>1117259.42</v>
      </c>
      <c r="C43" s="591">
        <f>C44</f>
        <v>0</v>
      </c>
      <c r="D43" s="591">
        <f>D44</f>
        <v>0</v>
      </c>
      <c r="E43" s="591">
        <f>E44</f>
        <v>0</v>
      </c>
      <c r="F43" s="591">
        <f>F44</f>
        <v>1117259.42</v>
      </c>
      <c r="G43" s="591"/>
      <c r="H43" s="591">
        <f t="shared" ref="H43:M43" si="6">H44</f>
        <v>160368.32999999999</v>
      </c>
      <c r="I43" s="591">
        <f t="shared" si="6"/>
        <v>73911.94</v>
      </c>
      <c r="J43" s="591">
        <f t="shared" si="6"/>
        <v>0</v>
      </c>
      <c r="K43" s="591">
        <f t="shared" si="6"/>
        <v>234280.27</v>
      </c>
      <c r="L43" s="591">
        <f t="shared" si="6"/>
        <v>0</v>
      </c>
      <c r="M43" s="591">
        <f t="shared" si="6"/>
        <v>882979.14999999991</v>
      </c>
      <c r="N43" s="591"/>
      <c r="O43" s="591">
        <f>O44</f>
        <v>0</v>
      </c>
      <c r="P43" s="598"/>
    </row>
    <row r="44" spans="1:16">
      <c r="A44" s="592" t="s">
        <v>1451</v>
      </c>
      <c r="B44" s="602">
        <v>1117259.42</v>
      </c>
      <c r="C44" s="602">
        <v>0</v>
      </c>
      <c r="D44" s="602">
        <v>0</v>
      </c>
      <c r="E44" s="602">
        <v>0</v>
      </c>
      <c r="F44" s="602">
        <f>+B44+C44+D44-E44</f>
        <v>1117259.42</v>
      </c>
      <c r="G44" s="594"/>
      <c r="H44" s="602">
        <v>160368.32999999999</v>
      </c>
      <c r="I44" s="602">
        <v>73911.94</v>
      </c>
      <c r="J44" s="602">
        <v>0</v>
      </c>
      <c r="K44" s="602">
        <f t="shared" si="4"/>
        <v>234280.27</v>
      </c>
      <c r="L44" s="594"/>
      <c r="M44" s="602">
        <f>+F44-K44</f>
        <v>882979.14999999991</v>
      </c>
      <c r="N44" s="594"/>
      <c r="O44" s="602">
        <v>0</v>
      </c>
      <c r="P44" s="603"/>
    </row>
    <row r="45" spans="1:16" ht="18">
      <c r="A45" s="590" t="s">
        <v>1766</v>
      </c>
      <c r="B45" s="591">
        <f>SUM(B46:B47)</f>
        <v>0</v>
      </c>
      <c r="C45" s="591">
        <f>SUM(C46:C47)</f>
        <v>0</v>
      </c>
      <c r="D45" s="591">
        <f>SUM(D46:D47)</f>
        <v>0</v>
      </c>
      <c r="E45" s="591">
        <f>SUM(E46:E47)</f>
        <v>0</v>
      </c>
      <c r="F45" s="591">
        <f>SUM(F46:F47)</f>
        <v>0</v>
      </c>
      <c r="G45" s="591"/>
      <c r="H45" s="591">
        <f>SUM(H46:H47)</f>
        <v>0</v>
      </c>
      <c r="I45" s="591">
        <f>SUM(I46:I47)</f>
        <v>0</v>
      </c>
      <c r="J45" s="591">
        <f>SUM(J46:J47)</f>
        <v>0</v>
      </c>
      <c r="K45" s="591">
        <f>SUM(K46:K47)</f>
        <v>0</v>
      </c>
      <c r="L45" s="591"/>
      <c r="M45" s="591">
        <f>SUM(M46:M47)</f>
        <v>0</v>
      </c>
      <c r="N45" s="591"/>
      <c r="O45" s="591">
        <f>SUM(O46:O47)</f>
        <v>0</v>
      </c>
      <c r="P45" s="598"/>
    </row>
    <row r="46" spans="1:16">
      <c r="A46" s="592" t="s">
        <v>1611</v>
      </c>
      <c r="B46" s="593">
        <v>0</v>
      </c>
      <c r="C46" s="593">
        <v>0</v>
      </c>
      <c r="D46" s="593">
        <v>0</v>
      </c>
      <c r="E46" s="593">
        <v>0</v>
      </c>
      <c r="F46" s="593">
        <f>+B46+C46+D46-E46</f>
        <v>0</v>
      </c>
      <c r="G46" s="594"/>
      <c r="H46" s="593">
        <v>0</v>
      </c>
      <c r="I46" s="593">
        <v>0</v>
      </c>
      <c r="J46" s="593">
        <v>0</v>
      </c>
      <c r="K46" s="593">
        <f t="shared" si="4"/>
        <v>0</v>
      </c>
      <c r="L46" s="594"/>
      <c r="M46" s="593">
        <f>+F46-K46</f>
        <v>0</v>
      </c>
      <c r="N46" s="594"/>
      <c r="O46" s="593">
        <v>0</v>
      </c>
      <c r="P46" s="603"/>
    </row>
    <row r="47" spans="1:16">
      <c r="A47" s="592" t="s">
        <v>1767</v>
      </c>
      <c r="B47" s="597">
        <v>0</v>
      </c>
      <c r="C47" s="597">
        <v>0</v>
      </c>
      <c r="D47" s="597">
        <v>0</v>
      </c>
      <c r="E47" s="597">
        <v>0</v>
      </c>
      <c r="F47" s="597">
        <f>+B47+C47+D47-E47</f>
        <v>0</v>
      </c>
      <c r="G47" s="594"/>
      <c r="H47" s="597">
        <v>0</v>
      </c>
      <c r="I47" s="597">
        <v>0</v>
      </c>
      <c r="J47" s="597">
        <v>0</v>
      </c>
      <c r="K47" s="597">
        <f t="shared" si="4"/>
        <v>0</v>
      </c>
      <c r="L47" s="594"/>
      <c r="M47" s="597">
        <f>+F47-K47</f>
        <v>0</v>
      </c>
      <c r="N47" s="594"/>
      <c r="O47" s="597" t="s">
        <v>1074</v>
      </c>
      <c r="P47" s="603"/>
    </row>
    <row r="48" spans="1:16">
      <c r="A48" s="590" t="s">
        <v>1768</v>
      </c>
      <c r="B48" s="591">
        <f>B49</f>
        <v>2026819.13</v>
      </c>
      <c r="C48" s="591">
        <f>C49</f>
        <v>0</v>
      </c>
      <c r="D48" s="591">
        <f>D49</f>
        <v>0</v>
      </c>
      <c r="E48" s="591">
        <f>E49</f>
        <v>0</v>
      </c>
      <c r="F48" s="591">
        <f>F49</f>
        <v>2026819.13</v>
      </c>
      <c r="G48" s="591"/>
      <c r="H48" s="591">
        <f>H49</f>
        <v>337683.58</v>
      </c>
      <c r="I48" s="591">
        <f>I49</f>
        <v>112561.19</v>
      </c>
      <c r="J48" s="591">
        <f>J49</f>
        <v>0</v>
      </c>
      <c r="K48" s="591">
        <f>K49</f>
        <v>450244.77</v>
      </c>
      <c r="L48" s="591"/>
      <c r="M48" s="591">
        <f>M49</f>
        <v>1576574.3599999999</v>
      </c>
      <c r="N48" s="591"/>
      <c r="O48" s="591">
        <f>O49</f>
        <v>1463110</v>
      </c>
      <c r="P48" s="598"/>
    </row>
    <row r="49" spans="1:16">
      <c r="A49" s="592" t="s">
        <v>1769</v>
      </c>
      <c r="B49" s="602">
        <v>2026819.13</v>
      </c>
      <c r="C49" s="602">
        <v>0</v>
      </c>
      <c r="D49" s="602">
        <v>0</v>
      </c>
      <c r="E49" s="602">
        <v>0</v>
      </c>
      <c r="F49" s="602">
        <f>+B49+C49+D49-E49</f>
        <v>2026819.13</v>
      </c>
      <c r="G49" s="594"/>
      <c r="H49" s="602">
        <v>337683.58</v>
      </c>
      <c r="I49" s="602">
        <v>112561.19</v>
      </c>
      <c r="J49" s="602">
        <v>0</v>
      </c>
      <c r="K49" s="602">
        <f t="shared" si="4"/>
        <v>450244.77</v>
      </c>
      <c r="L49" s="594"/>
      <c r="M49" s="602">
        <f>+F49-K49</f>
        <v>1576574.3599999999</v>
      </c>
      <c r="N49" s="594"/>
      <c r="O49" s="602">
        <v>1463110</v>
      </c>
      <c r="P49" s="603"/>
    </row>
    <row r="50" spans="1:16">
      <c r="A50" s="590" t="s">
        <v>1770</v>
      </c>
      <c r="B50" s="591">
        <f>B51</f>
        <v>0</v>
      </c>
      <c r="C50" s="591">
        <f>C51</f>
        <v>0</v>
      </c>
      <c r="D50" s="591">
        <f>D51</f>
        <v>0</v>
      </c>
      <c r="E50" s="591">
        <f>E51</f>
        <v>0</v>
      </c>
      <c r="F50" s="591">
        <f>F51</f>
        <v>0</v>
      </c>
      <c r="G50" s="591"/>
      <c r="H50" s="591">
        <f>H51</f>
        <v>0</v>
      </c>
      <c r="I50" s="591">
        <f>I51</f>
        <v>0</v>
      </c>
      <c r="J50" s="591">
        <f>J51</f>
        <v>0</v>
      </c>
      <c r="K50" s="591">
        <f>K51</f>
        <v>0</v>
      </c>
      <c r="L50" s="591"/>
      <c r="M50" s="591">
        <f>M51</f>
        <v>0</v>
      </c>
      <c r="N50" s="591"/>
      <c r="O50" s="591">
        <f>O51</f>
        <v>0</v>
      </c>
      <c r="P50" s="598"/>
    </row>
    <row r="51" spans="1:16">
      <c r="A51" s="592" t="s">
        <v>1101</v>
      </c>
      <c r="B51" s="602">
        <v>0</v>
      </c>
      <c r="C51" s="602">
        <v>0</v>
      </c>
      <c r="D51" s="602">
        <v>0</v>
      </c>
      <c r="E51" s="602">
        <v>0</v>
      </c>
      <c r="F51" s="602">
        <f>+B51+C51+D51-E51</f>
        <v>0</v>
      </c>
      <c r="G51" s="594"/>
      <c r="H51" s="602">
        <v>0</v>
      </c>
      <c r="I51" s="602">
        <v>0</v>
      </c>
      <c r="J51" s="602">
        <v>0</v>
      </c>
      <c r="K51" s="602">
        <f t="shared" si="4"/>
        <v>0</v>
      </c>
      <c r="L51" s="594"/>
      <c r="M51" s="602">
        <f>+F51-K51</f>
        <v>0</v>
      </c>
      <c r="N51" s="594"/>
      <c r="O51" s="602">
        <v>0</v>
      </c>
      <c r="P51" s="603"/>
    </row>
    <row r="52" spans="1:16">
      <c r="A52" s="590" t="s">
        <v>1771</v>
      </c>
      <c r="B52" s="591">
        <f>SUM(B53:B54)</f>
        <v>0</v>
      </c>
      <c r="C52" s="591">
        <f>SUM(C53:C54)</f>
        <v>0</v>
      </c>
      <c r="D52" s="591">
        <f>SUM(D53:D54)</f>
        <v>0</v>
      </c>
      <c r="E52" s="591">
        <f>SUM(E53:E54)</f>
        <v>0</v>
      </c>
      <c r="F52" s="591">
        <f>SUM(F53:F54)</f>
        <v>0</v>
      </c>
      <c r="G52" s="591"/>
      <c r="H52" s="591">
        <f>SUM(H53:H54)</f>
        <v>0</v>
      </c>
      <c r="I52" s="591">
        <f>SUM(I53:I54)</f>
        <v>0</v>
      </c>
      <c r="J52" s="591">
        <f>SUM(J53:J54)</f>
        <v>0</v>
      </c>
      <c r="K52" s="591">
        <f>SUM(K53:K54)</f>
        <v>0</v>
      </c>
      <c r="L52" s="591"/>
      <c r="M52" s="591">
        <f>SUM(M53:M54)</f>
        <v>0</v>
      </c>
      <c r="N52" s="591"/>
      <c r="O52" s="591">
        <f>SUM(O53:O54)</f>
        <v>0</v>
      </c>
      <c r="P52" s="598"/>
    </row>
    <row r="53" spans="1:16">
      <c r="A53" s="592" t="s">
        <v>1772</v>
      </c>
      <c r="B53" s="593">
        <v>0</v>
      </c>
      <c r="C53" s="593">
        <v>0</v>
      </c>
      <c r="D53" s="593">
        <v>0</v>
      </c>
      <c r="E53" s="593">
        <v>0</v>
      </c>
      <c r="F53" s="593">
        <f>+B53+C53+D53-E53</f>
        <v>0</v>
      </c>
      <c r="G53" s="594"/>
      <c r="H53" s="593">
        <v>0</v>
      </c>
      <c r="I53" s="593">
        <v>0</v>
      </c>
      <c r="J53" s="593">
        <v>0</v>
      </c>
      <c r="K53" s="593">
        <f t="shared" si="4"/>
        <v>0</v>
      </c>
      <c r="L53" s="594"/>
      <c r="M53" s="593">
        <f>+F53-K53</f>
        <v>0</v>
      </c>
      <c r="N53" s="594"/>
      <c r="O53" s="593">
        <v>0</v>
      </c>
      <c r="P53" s="603"/>
    </row>
    <row r="54" spans="1:16">
      <c r="A54" s="592" t="s">
        <v>1773</v>
      </c>
      <c r="B54" s="597">
        <v>0</v>
      </c>
      <c r="C54" s="597">
        <v>0</v>
      </c>
      <c r="D54" s="597">
        <v>0</v>
      </c>
      <c r="E54" s="597">
        <v>0</v>
      </c>
      <c r="F54" s="597">
        <f>+B54+C54+D54-E54</f>
        <v>0</v>
      </c>
      <c r="G54" s="594"/>
      <c r="H54" s="597">
        <v>0</v>
      </c>
      <c r="I54" s="597">
        <v>0</v>
      </c>
      <c r="J54" s="597">
        <v>0</v>
      </c>
      <c r="K54" s="597">
        <f t="shared" si="4"/>
        <v>0</v>
      </c>
      <c r="L54" s="594"/>
      <c r="M54" s="597">
        <f>+F54-K54</f>
        <v>0</v>
      </c>
      <c r="N54" s="594"/>
      <c r="O54" s="597">
        <v>0</v>
      </c>
      <c r="P54" s="603"/>
    </row>
    <row r="55" spans="1:16">
      <c r="A55" s="604"/>
      <c r="B55" s="605"/>
      <c r="C55" s="605"/>
      <c r="D55" s="605"/>
      <c r="E55" s="605"/>
      <c r="F55" s="605"/>
      <c r="G55" s="605"/>
      <c r="H55" s="605"/>
      <c r="I55" s="605">
        <v>0</v>
      </c>
      <c r="J55" s="605">
        <v>0</v>
      </c>
      <c r="K55" s="605"/>
      <c r="L55" s="605"/>
      <c r="M55" s="605"/>
      <c r="N55" s="605"/>
      <c r="O55" s="606"/>
      <c r="P55" s="607"/>
    </row>
    <row r="56" spans="1:16">
      <c r="A56" s="590" t="s">
        <v>1774</v>
      </c>
      <c r="B56" s="591">
        <f>SUM(B57:B58)</f>
        <v>10048627.01</v>
      </c>
      <c r="C56" s="591">
        <f>SUM(C57:C58)</f>
        <v>449022.69</v>
      </c>
      <c r="D56" s="591">
        <f>SUM(D57:D58)</f>
        <v>0</v>
      </c>
      <c r="E56" s="591">
        <f>SUM(E57:E58)</f>
        <v>0</v>
      </c>
      <c r="F56" s="591">
        <f>SUM(F57:F58)</f>
        <v>10497649.699999999</v>
      </c>
      <c r="G56" s="591"/>
      <c r="H56" s="591">
        <f>SUM(H57:H58)</f>
        <v>2876505.36</v>
      </c>
      <c r="I56" s="591">
        <f>SUM(I57:I58)</f>
        <v>475662.96</v>
      </c>
      <c r="J56" s="591">
        <f>SUM(J57:J58)</f>
        <v>0</v>
      </c>
      <c r="K56" s="591">
        <f>SUM(K57:K58)</f>
        <v>3352168.32</v>
      </c>
      <c r="L56" s="591"/>
      <c r="M56" s="591">
        <f>SUM(M57:M58)</f>
        <v>7145481.379999999</v>
      </c>
      <c r="N56" s="591"/>
      <c r="O56" s="591">
        <f>SUM(O57:O58)</f>
        <v>1260760</v>
      </c>
      <c r="P56" s="598"/>
    </row>
    <row r="57" spans="1:16">
      <c r="A57" s="592" t="s">
        <v>1775</v>
      </c>
      <c r="B57" s="593">
        <v>10048627.01</v>
      </c>
      <c r="C57" s="593">
        <v>449022.69</v>
      </c>
      <c r="D57" s="593">
        <v>0</v>
      </c>
      <c r="E57" s="593">
        <v>0</v>
      </c>
      <c r="F57" s="593">
        <f>+B57+C57+D57-E57</f>
        <v>10497649.699999999</v>
      </c>
      <c r="G57" s="594"/>
      <c r="H57" s="593">
        <v>2876505.36</v>
      </c>
      <c r="I57" s="593">
        <v>475662.96</v>
      </c>
      <c r="J57" s="593">
        <v>0</v>
      </c>
      <c r="K57" s="593">
        <f>+H57+I57-J57</f>
        <v>3352168.32</v>
      </c>
      <c r="L57" s="594"/>
      <c r="M57" s="593">
        <f>+F57-K57</f>
        <v>7145481.379999999</v>
      </c>
      <c r="N57" s="594"/>
      <c r="O57" s="593">
        <v>1260760</v>
      </c>
      <c r="P57" s="603"/>
    </row>
    <row r="58" spans="1:16">
      <c r="A58" s="592" t="s">
        <v>1102</v>
      </c>
      <c r="B58" s="597">
        <v>0</v>
      </c>
      <c r="C58" s="597">
        <v>0</v>
      </c>
      <c r="D58" s="597">
        <v>0</v>
      </c>
      <c r="E58" s="597">
        <v>0</v>
      </c>
      <c r="F58" s="597">
        <f>+B58+C58+D58-E58</f>
        <v>0</v>
      </c>
      <c r="G58" s="594"/>
      <c r="H58" s="597">
        <v>0</v>
      </c>
      <c r="I58" s="597">
        <v>0</v>
      </c>
      <c r="J58" s="597">
        <v>0</v>
      </c>
      <c r="K58" s="597">
        <v>0</v>
      </c>
      <c r="L58" s="594"/>
      <c r="M58" s="597">
        <f>+F58-K58</f>
        <v>0</v>
      </c>
      <c r="N58" s="594"/>
      <c r="O58" s="597">
        <v>0</v>
      </c>
      <c r="P58" s="603"/>
    </row>
    <row r="59" spans="1:16">
      <c r="A59" s="608" t="s">
        <v>3011</v>
      </c>
      <c r="B59" s="609">
        <f>B56+B52+B50+B48+B45+B43+B40+B35+B31+B27+B24+B10+B8</f>
        <v>53637354.339999996</v>
      </c>
      <c r="C59" s="609">
        <f>C56+C52+C50+C48+C45+C43+C40+C35+C31+C27+C24+C10+C8</f>
        <v>87873151.430000007</v>
      </c>
      <c r="D59" s="609">
        <f>D56+D52+D50+D48+D45+D43+D40+D35+D31+D27+D24+D10+D8</f>
        <v>2171838</v>
      </c>
      <c r="E59" s="609">
        <f>E56+E52+E50+E48+E45+E43+E40+E35+E31+E27+E24+E10+E8</f>
        <v>0</v>
      </c>
      <c r="F59" s="609">
        <f>F56+F52+F50+F48+F45+F43+F40+F35+F31+F27+F24+F10+F8</f>
        <v>143682343.77000001</v>
      </c>
      <c r="G59" s="609"/>
      <c r="H59" s="609">
        <f t="shared" ref="H59:M59" si="7">H56+H52+H50+H48+H45+H43+H40+H35+H31+H27+H24+H10+H8</f>
        <v>19028831.020000003</v>
      </c>
      <c r="I59" s="609">
        <f t="shared" si="7"/>
        <v>3492914.17</v>
      </c>
      <c r="J59" s="609">
        <f t="shared" si="7"/>
        <v>0</v>
      </c>
      <c r="K59" s="609">
        <f t="shared" si="7"/>
        <v>22521745.190000001</v>
      </c>
      <c r="L59" s="609">
        <f t="shared" si="7"/>
        <v>0</v>
      </c>
      <c r="M59" s="609">
        <f t="shared" si="7"/>
        <v>121160598.58000001</v>
      </c>
      <c r="N59" s="609"/>
      <c r="O59" s="609">
        <f>O56+O52+O50+O48+O45+O43+O40+O35+O31+O27+O24+O10+O8</f>
        <v>2903673</v>
      </c>
      <c r="P59" s="610"/>
    </row>
    <row r="61" spans="1:16">
      <c r="B61" s="357">
        <v>53637354.340000004</v>
      </c>
      <c r="C61" s="357">
        <f>C59+D59</f>
        <v>90044989.430000007</v>
      </c>
    </row>
    <row r="62" spans="1:16">
      <c r="B62" s="357">
        <f>B59-B61</f>
        <v>0</v>
      </c>
    </row>
    <row r="63" spans="1:16">
      <c r="D63" s="357">
        <f>SUM(C59:D59)</f>
        <v>90044989.430000007</v>
      </c>
    </row>
  </sheetData>
  <mergeCells count="6">
    <mergeCell ref="A1:O1"/>
    <mergeCell ref="A2:O2"/>
    <mergeCell ref="A3:O3"/>
    <mergeCell ref="B5:F5"/>
    <mergeCell ref="H5:K5"/>
    <mergeCell ref="O5:P5"/>
  </mergeCells>
  <phoneticPr fontId="0" type="noConversion"/>
  <printOptions horizontalCentered="1"/>
  <pageMargins left="0.39370078740157483" right="0.39370078740157483" top="0.39370078740157483" bottom="0.39370078740157483" header="0.9055118110236221" footer="0.9055118110236221"/>
  <pageSetup paperSize="9" scale="71" orientation="landscape" r:id="rId1"/>
  <headerFooter>
    <oddFooter>&amp;R&amp;P</oddFooter>
  </headerFooter>
</worksheet>
</file>

<file path=xl/worksheets/sheet24.xml><?xml version="1.0" encoding="utf-8"?>
<worksheet xmlns="http://schemas.openxmlformats.org/spreadsheetml/2006/main" xmlns:r="http://schemas.openxmlformats.org/officeDocument/2006/relationships">
  <sheetPr>
    <pageSetUpPr fitToPage="1"/>
  </sheetPr>
  <dimension ref="A1:T83"/>
  <sheetViews>
    <sheetView view="pageBreakPreview" topLeftCell="A25" zoomScaleSheetLayoutView="100" workbookViewId="0">
      <selection activeCell="A14" sqref="A14"/>
    </sheetView>
  </sheetViews>
  <sheetFormatPr defaultRowHeight="12.75"/>
  <cols>
    <col min="1" max="1" width="2.28515625" style="273" customWidth="1"/>
    <col min="2" max="2" width="15.85546875" style="303" bestFit="1" customWidth="1"/>
    <col min="3" max="3" width="2.28515625" style="303" customWidth="1"/>
    <col min="4" max="4" width="15.85546875" style="303" bestFit="1" customWidth="1"/>
    <col min="5" max="5" width="2.28515625" style="303" customWidth="1"/>
    <col min="6" max="6" width="15.5703125" style="303" bestFit="1" customWidth="1"/>
    <col min="7" max="7" width="2.28515625" style="273" customWidth="1"/>
    <col min="8" max="8" width="26.140625" style="273" customWidth="1"/>
    <col min="9" max="9" width="2.28515625" style="273" customWidth="1"/>
    <col min="10" max="10" width="15.5703125" style="303" bestFit="1" customWidth="1"/>
    <col min="11" max="11" width="2.28515625" style="303" customWidth="1"/>
    <col min="12" max="12" width="15.85546875" style="303" bestFit="1" customWidth="1"/>
    <col min="13" max="13" width="2.28515625" style="303" customWidth="1"/>
    <col min="14" max="14" width="15.5703125" style="303" bestFit="1" customWidth="1"/>
    <col min="15" max="15" width="2.28515625" style="273" customWidth="1"/>
    <col min="16" max="16384" width="9.140625" style="273"/>
  </cols>
  <sheetData>
    <row r="1" spans="1:17">
      <c r="B1" s="1446" t="s">
        <v>1794</v>
      </c>
      <c r="C1" s="1446"/>
      <c r="D1" s="1446"/>
      <c r="E1" s="1446"/>
      <c r="F1" s="1446"/>
      <c r="G1" s="1446"/>
      <c r="H1" s="1446"/>
      <c r="I1" s="1446"/>
      <c r="J1" s="1446"/>
      <c r="K1" s="1446"/>
      <c r="L1" s="1446"/>
      <c r="M1" s="1446"/>
      <c r="N1" s="1446"/>
    </row>
    <row r="2" spans="1:17">
      <c r="B2" s="1446" t="s">
        <v>1795</v>
      </c>
      <c r="C2" s="1446"/>
      <c r="D2" s="1446"/>
      <c r="E2" s="1446"/>
      <c r="F2" s="1446"/>
      <c r="G2" s="1446"/>
      <c r="H2" s="1446"/>
      <c r="I2" s="1446"/>
      <c r="J2" s="1446"/>
      <c r="K2" s="1446"/>
      <c r="L2" s="1446"/>
      <c r="M2" s="1446"/>
      <c r="N2" s="1446"/>
    </row>
    <row r="3" spans="1:17">
      <c r="B3" s="1446" t="s">
        <v>3093</v>
      </c>
      <c r="C3" s="1446"/>
      <c r="D3" s="1446"/>
      <c r="E3" s="1446"/>
      <c r="F3" s="1446"/>
      <c r="G3" s="1446"/>
      <c r="H3" s="1446"/>
      <c r="I3" s="1446"/>
      <c r="J3" s="1446"/>
      <c r="K3" s="1446"/>
      <c r="L3" s="1446"/>
      <c r="M3" s="1446"/>
      <c r="N3" s="1446"/>
    </row>
    <row r="5" spans="1:17">
      <c r="A5" s="1440"/>
      <c r="B5" s="276" t="s">
        <v>3558</v>
      </c>
      <c r="C5" s="1442"/>
      <c r="D5" s="276" t="s">
        <v>3558</v>
      </c>
      <c r="E5" s="1442"/>
      <c r="F5" s="276" t="s">
        <v>3558</v>
      </c>
      <c r="G5" s="1444"/>
      <c r="H5" s="1444"/>
      <c r="I5" s="1444"/>
      <c r="J5" s="276" t="s">
        <v>2241</v>
      </c>
      <c r="K5" s="1442"/>
      <c r="L5" s="276" t="s">
        <v>2241</v>
      </c>
      <c r="M5" s="1442"/>
      <c r="N5" s="276" t="s">
        <v>2241</v>
      </c>
      <c r="O5" s="1448"/>
    </row>
    <row r="6" spans="1:17">
      <c r="A6" s="1441"/>
      <c r="B6" s="278" t="s">
        <v>1606</v>
      </c>
      <c r="C6" s="1443"/>
      <c r="D6" s="278" t="s">
        <v>1606</v>
      </c>
      <c r="E6" s="1443"/>
      <c r="F6" s="278" t="s">
        <v>1778</v>
      </c>
      <c r="G6" s="1445"/>
      <c r="H6" s="1445"/>
      <c r="I6" s="1445"/>
      <c r="J6" s="278" t="s">
        <v>1606</v>
      </c>
      <c r="K6" s="1443"/>
      <c r="L6" s="278" t="s">
        <v>1606</v>
      </c>
      <c r="M6" s="1443"/>
      <c r="N6" s="278" t="s">
        <v>1606</v>
      </c>
      <c r="O6" s="1447"/>
    </row>
    <row r="7" spans="1:17">
      <c r="A7" s="1441"/>
      <c r="B7" s="278" t="s">
        <v>689</v>
      </c>
      <c r="C7" s="1443"/>
      <c r="D7" s="278" t="s">
        <v>691</v>
      </c>
      <c r="E7" s="1443"/>
      <c r="F7" s="278" t="s">
        <v>1779</v>
      </c>
      <c r="G7" s="1445"/>
      <c r="H7" s="1445"/>
      <c r="I7" s="1445"/>
      <c r="J7" s="278" t="s">
        <v>689</v>
      </c>
      <c r="K7" s="1443"/>
      <c r="L7" s="278" t="s">
        <v>691</v>
      </c>
      <c r="M7" s="1443"/>
      <c r="N7" s="278" t="s">
        <v>1778</v>
      </c>
      <c r="O7" s="1447"/>
    </row>
    <row r="8" spans="1:17">
      <c r="A8" s="1441"/>
      <c r="B8" s="278"/>
      <c r="C8" s="1443"/>
      <c r="D8" s="278"/>
      <c r="E8" s="1443"/>
      <c r="F8" s="278"/>
      <c r="G8" s="1445"/>
      <c r="H8" s="1445"/>
      <c r="I8" s="1445"/>
      <c r="J8" s="278"/>
      <c r="K8" s="1443"/>
      <c r="L8" s="278" t="s">
        <v>55</v>
      </c>
      <c r="M8" s="1443"/>
      <c r="N8" s="278" t="s">
        <v>1779</v>
      </c>
      <c r="O8" s="1447"/>
    </row>
    <row r="9" spans="1:17">
      <c r="A9" s="1441"/>
      <c r="B9" s="278" t="s">
        <v>3386</v>
      </c>
      <c r="C9" s="1443"/>
      <c r="D9" s="278" t="s">
        <v>3386</v>
      </c>
      <c r="E9" s="1443"/>
      <c r="F9" s="278" t="s">
        <v>3386</v>
      </c>
      <c r="G9" s="1445"/>
      <c r="H9" s="1445"/>
      <c r="I9" s="1445"/>
      <c r="J9" s="278" t="s">
        <v>3386</v>
      </c>
      <c r="K9" s="1443"/>
      <c r="L9" s="278" t="s">
        <v>3386</v>
      </c>
      <c r="M9" s="1443"/>
      <c r="N9" s="278" t="s">
        <v>3386</v>
      </c>
      <c r="O9" s="1447"/>
    </row>
    <row r="10" spans="1:17">
      <c r="A10" s="277"/>
      <c r="B10" s="279">
        <f>B11</f>
        <v>8607675</v>
      </c>
      <c r="C10" s="280"/>
      <c r="D10" s="279">
        <f>D11</f>
        <v>12209386</v>
      </c>
      <c r="E10" s="280"/>
      <c r="F10" s="279">
        <f>F11</f>
        <v>-3601711</v>
      </c>
      <c r="G10" s="281"/>
      <c r="H10" s="281" t="s">
        <v>1780</v>
      </c>
      <c r="I10" s="281"/>
      <c r="J10" s="279">
        <f>J11</f>
        <v>8357782.709999999</v>
      </c>
      <c r="K10" s="280"/>
      <c r="L10" s="279">
        <f>L11</f>
        <v>14628087.82</v>
      </c>
      <c r="M10" s="280"/>
      <c r="N10" s="279">
        <f>N11</f>
        <v>-6270305.1100000013</v>
      </c>
      <c r="O10" s="282"/>
    </row>
    <row r="11" spans="1:17">
      <c r="A11" s="268"/>
      <c r="B11" s="283">
        <f>8607675+0</f>
        <v>8607675</v>
      </c>
      <c r="C11" s="284"/>
      <c r="D11" s="283">
        <f>8968245+3241141</f>
        <v>12209386</v>
      </c>
      <c r="E11" s="284"/>
      <c r="F11" s="283">
        <f>+B11-D11</f>
        <v>-3601711</v>
      </c>
      <c r="G11" s="270"/>
      <c r="H11" s="270" t="s">
        <v>1780</v>
      </c>
      <c r="I11" s="270"/>
      <c r="J11" s="283">
        <f>-'TRAIL BALANCE'!K13</f>
        <v>8357782.709999999</v>
      </c>
      <c r="K11" s="284"/>
      <c r="L11" s="365">
        <f>+'TRAIL BALANCE'!J64+'TRAIL BALANCE'!J94+'TRAIL BALANCE'!J110</f>
        <v>14628087.82</v>
      </c>
      <c r="M11" s="284"/>
      <c r="N11" s="283">
        <f>+J11-L11</f>
        <v>-6270305.1100000013</v>
      </c>
      <c r="O11" s="272"/>
    </row>
    <row r="12" spans="1:17">
      <c r="A12" s="268"/>
      <c r="B12" s="285"/>
      <c r="C12" s="284"/>
      <c r="D12" s="285"/>
      <c r="E12" s="284"/>
      <c r="F12" s="285"/>
      <c r="G12" s="270"/>
      <c r="H12" s="270"/>
      <c r="I12" s="270"/>
      <c r="J12" s="285"/>
      <c r="K12" s="284"/>
      <c r="L12" s="285"/>
      <c r="M12" s="284"/>
      <c r="N12" s="285"/>
      <c r="O12" s="272"/>
    </row>
    <row r="13" spans="1:17">
      <c r="A13" s="268"/>
      <c r="B13" s="279">
        <f>SUM(B14:B18)</f>
        <v>12094994</v>
      </c>
      <c r="C13" s="280"/>
      <c r="D13" s="279">
        <f>SUM(D14:D18)</f>
        <v>15894082.004000001</v>
      </c>
      <c r="E13" s="280"/>
      <c r="F13" s="279">
        <f>SUM(F14:F18)</f>
        <v>-3799088.0040000007</v>
      </c>
      <c r="G13" s="270"/>
      <c r="H13" s="281" t="s">
        <v>1781</v>
      </c>
      <c r="I13" s="281"/>
      <c r="J13" s="279">
        <f>SUM(J14:J18)</f>
        <v>14088369.460000001</v>
      </c>
      <c r="K13" s="280"/>
      <c r="L13" s="279">
        <f>SUM(L14:L18)</f>
        <v>18352421.620000005</v>
      </c>
      <c r="M13" s="280"/>
      <c r="N13" s="279">
        <f>SUM(N14:N18)</f>
        <v>-4264052.1600000039</v>
      </c>
      <c r="O13" s="282"/>
    </row>
    <row r="14" spans="1:17">
      <c r="A14" s="268"/>
      <c r="B14" s="286">
        <v>10499521</v>
      </c>
      <c r="C14" s="284"/>
      <c r="D14" s="286">
        <f>6712993+66032+3295509+5.004</f>
        <v>10074539.004000001</v>
      </c>
      <c r="E14" s="284"/>
      <c r="F14" s="286">
        <f>+B14-D14</f>
        <v>424981.99599999934</v>
      </c>
      <c r="G14" s="270"/>
      <c r="H14" s="270" t="s">
        <v>1429</v>
      </c>
      <c r="I14" s="270"/>
      <c r="J14" s="286">
        <f>-'TRAIL BALANCE'!K226</f>
        <v>12287369.060000001</v>
      </c>
      <c r="K14" s="284"/>
      <c r="L14" s="286">
        <f>+'TRAIL BALANCE'!J268+'TRAIL BALANCE'!J279-36000</f>
        <v>11834686.740000004</v>
      </c>
      <c r="M14" s="284"/>
      <c r="N14" s="286">
        <f>+J14-L14</f>
        <v>452682.31999999657</v>
      </c>
      <c r="O14" s="272"/>
      <c r="Q14" s="273" t="s">
        <v>617</v>
      </c>
    </row>
    <row r="15" spans="1:17">
      <c r="A15" s="268"/>
      <c r="B15" s="287">
        <v>0</v>
      </c>
      <c r="C15" s="284"/>
      <c r="D15" s="287">
        <v>124161</v>
      </c>
      <c r="E15" s="284"/>
      <c r="F15" s="287">
        <f>+B15-D15</f>
        <v>-124161</v>
      </c>
      <c r="G15" s="270"/>
      <c r="H15" s="270" t="s">
        <v>1782</v>
      </c>
      <c r="I15" s="270"/>
      <c r="J15" s="287">
        <f>-SUM('TRAIL BALANCE'!C164)</f>
        <v>0</v>
      </c>
      <c r="K15" s="284"/>
      <c r="L15" s="287">
        <f>+'TRAIL BALANCE'!J172</f>
        <v>527292.11</v>
      </c>
      <c r="M15" s="284"/>
      <c r="N15" s="287">
        <f>+J15-L15</f>
        <v>-527292.11</v>
      </c>
      <c r="O15" s="272"/>
    </row>
    <row r="16" spans="1:17">
      <c r="A16" s="268"/>
      <c r="B16" s="287">
        <v>500000</v>
      </c>
      <c r="C16" s="284"/>
      <c r="D16" s="287">
        <v>1062047</v>
      </c>
      <c r="E16" s="284"/>
      <c r="F16" s="287">
        <f>+B16-D16</f>
        <v>-562047</v>
      </c>
      <c r="G16" s="270"/>
      <c r="H16" s="270" t="s">
        <v>1783</v>
      </c>
      <c r="I16" s="270"/>
      <c r="J16" s="287">
        <f>-'TRAIL BALANCE'!K283</f>
        <v>1234000</v>
      </c>
      <c r="K16" s="284"/>
      <c r="L16" s="287">
        <f>+'TRAIL BALANCE'!J303</f>
        <v>1433110.47</v>
      </c>
      <c r="M16" s="284"/>
      <c r="N16" s="287">
        <f>+J16-L16</f>
        <v>-199110.46999999997</v>
      </c>
      <c r="O16" s="272"/>
    </row>
    <row r="17" spans="1:20">
      <c r="A17" s="268"/>
      <c r="B17" s="287">
        <v>595473</v>
      </c>
      <c r="C17" s="284"/>
      <c r="D17" s="287">
        <v>978635</v>
      </c>
      <c r="E17" s="284"/>
      <c r="F17" s="287">
        <f>+B17-D17</f>
        <v>-383162</v>
      </c>
      <c r="G17" s="270"/>
      <c r="H17" s="270" t="s">
        <v>1784</v>
      </c>
      <c r="I17" s="270"/>
      <c r="J17" s="287">
        <f>-'TRAIL BALANCE'!K514</f>
        <v>0.4</v>
      </c>
      <c r="K17" s="284"/>
      <c r="L17" s="287">
        <f>SUM('TRAIL BALANCE'!C496:C513)+SUM('TRAIL BALANCE'!C515)</f>
        <v>720232.93</v>
      </c>
      <c r="M17" s="284"/>
      <c r="N17" s="287">
        <f>+J17-L17</f>
        <v>-720232.53</v>
      </c>
      <c r="O17" s="272"/>
    </row>
    <row r="18" spans="1:20">
      <c r="A18" s="268"/>
      <c r="B18" s="269">
        <f>500000+0</f>
        <v>500000</v>
      </c>
      <c r="C18" s="284"/>
      <c r="D18" s="269">
        <f>1580904+2073796</f>
        <v>3654700</v>
      </c>
      <c r="E18" s="284"/>
      <c r="F18" s="269">
        <f>+B18-D18</f>
        <v>-3154700</v>
      </c>
      <c r="G18" s="270"/>
      <c r="H18" s="270" t="s">
        <v>1785</v>
      </c>
      <c r="I18" s="270"/>
      <c r="J18" s="269">
        <f>-'TRAIL BALANCE'!K124</f>
        <v>567000</v>
      </c>
      <c r="K18" s="284"/>
      <c r="L18" s="269">
        <f>+'TRAIL BALANCE'!J135+'TRAIL BALANCE'!J163</f>
        <v>3837099.37</v>
      </c>
      <c r="M18" s="284"/>
      <c r="N18" s="269">
        <f>+J18-L18</f>
        <v>-3270099.37</v>
      </c>
      <c r="O18" s="272"/>
      <c r="Q18" s="273" t="s">
        <v>611</v>
      </c>
      <c r="R18" s="273">
        <v>500000</v>
      </c>
      <c r="S18" s="273">
        <v>1580904</v>
      </c>
      <c r="T18" s="273">
        <f>+R18-S18</f>
        <v>-1080904</v>
      </c>
    </row>
    <row r="19" spans="1:20">
      <c r="A19" s="268"/>
      <c r="B19" s="284"/>
      <c r="C19" s="284"/>
      <c r="D19" s="285"/>
      <c r="E19" s="284"/>
      <c r="F19" s="284"/>
      <c r="G19" s="270"/>
      <c r="H19" s="270"/>
      <c r="I19" s="270"/>
      <c r="J19" s="284"/>
      <c r="K19" s="284"/>
      <c r="L19" s="285"/>
      <c r="M19" s="284"/>
      <c r="N19" s="284"/>
      <c r="O19" s="272"/>
      <c r="Q19" s="273" t="s">
        <v>618</v>
      </c>
    </row>
    <row r="20" spans="1:20">
      <c r="A20" s="268"/>
      <c r="B20" s="279">
        <f>SUM(B21:B24)</f>
        <v>0</v>
      </c>
      <c r="C20" s="280"/>
      <c r="D20" s="279">
        <f>SUM(D21:D24)</f>
        <v>858459</v>
      </c>
      <c r="E20" s="280"/>
      <c r="F20" s="279">
        <f>SUM(F21:F24)</f>
        <v>-858459</v>
      </c>
      <c r="G20" s="270"/>
      <c r="H20" s="281" t="s">
        <v>1786</v>
      </c>
      <c r="I20" s="281"/>
      <c r="J20" s="279">
        <f>SUM(J21:J24)</f>
        <v>4908</v>
      </c>
      <c r="K20" s="280"/>
      <c r="L20" s="279">
        <f>SUM(L21:L24)</f>
        <v>1351293.58</v>
      </c>
      <c r="M20" s="280"/>
      <c r="N20" s="279">
        <f>SUM(N21:N24)</f>
        <v>-1346385.58</v>
      </c>
      <c r="O20" s="272"/>
    </row>
    <row r="21" spans="1:20">
      <c r="A21" s="268"/>
      <c r="B21" s="286"/>
      <c r="C21" s="284"/>
      <c r="D21" s="286"/>
      <c r="E21" s="284"/>
      <c r="F21" s="286"/>
      <c r="G21" s="270"/>
      <c r="H21" s="270" t="s">
        <v>961</v>
      </c>
      <c r="I21" s="270"/>
      <c r="J21" s="286">
        <f>-'TRAIL BALANCE'!K492</f>
        <v>4908</v>
      </c>
      <c r="K21" s="284"/>
      <c r="L21" s="286">
        <f>+'TRAIL BALANCE'!J448+'TRAIL BALANCE'!J123</f>
        <v>1027770.61</v>
      </c>
      <c r="M21" s="284"/>
      <c r="N21" s="286">
        <f>+J21-L21</f>
        <v>-1022862.61</v>
      </c>
      <c r="O21" s="272"/>
    </row>
    <row r="22" spans="1:20">
      <c r="A22" s="268"/>
      <c r="B22" s="287"/>
      <c r="C22" s="284"/>
      <c r="D22" s="287"/>
      <c r="E22" s="284"/>
      <c r="F22" s="287"/>
      <c r="G22" s="270"/>
      <c r="H22" s="270" t="s">
        <v>620</v>
      </c>
      <c r="I22" s="270"/>
      <c r="J22" s="287">
        <f>-SUM('TRAIL BALANCE'!C565)</f>
        <v>0</v>
      </c>
      <c r="K22" s="284"/>
      <c r="L22" s="287">
        <f>SUM('TRAIL BALANCE'!C566:C571)</f>
        <v>11265.060000000001</v>
      </c>
      <c r="M22" s="284"/>
      <c r="N22" s="287">
        <f>+J22-L22</f>
        <v>-11265.060000000001</v>
      </c>
      <c r="O22" s="272"/>
    </row>
    <row r="23" spans="1:20">
      <c r="A23" s="268"/>
      <c r="B23" s="287"/>
      <c r="C23" s="284"/>
      <c r="D23" s="287"/>
      <c r="E23" s="284"/>
      <c r="F23" s="287"/>
      <c r="G23" s="270"/>
      <c r="H23" s="270" t="s">
        <v>614</v>
      </c>
      <c r="I23" s="270"/>
      <c r="J23" s="287">
        <f>-SUM('TRAIL BALANCE'!C572)</f>
        <v>0</v>
      </c>
      <c r="K23" s="284"/>
      <c r="L23" s="287">
        <f>SUM('TRAIL BALANCE'!C573:C584)</f>
        <v>268694.11</v>
      </c>
      <c r="M23" s="284"/>
      <c r="N23" s="287">
        <f>+J23-L23</f>
        <v>-268694.11</v>
      </c>
      <c r="O23" s="272"/>
    </row>
    <row r="24" spans="1:20">
      <c r="A24" s="268"/>
      <c r="B24" s="269">
        <v>0</v>
      </c>
      <c r="C24" s="284"/>
      <c r="D24" s="269">
        <f>28553+29293+786399+14214</f>
        <v>858459</v>
      </c>
      <c r="E24" s="284"/>
      <c r="F24" s="269">
        <f>+B24-D24</f>
        <v>-858459</v>
      </c>
      <c r="G24" s="270"/>
      <c r="H24" s="270" t="s">
        <v>621</v>
      </c>
      <c r="I24" s="270"/>
      <c r="J24" s="269">
        <v>0</v>
      </c>
      <c r="K24" s="284"/>
      <c r="L24" s="269">
        <f>+'TRAIL BALANCE'!J588</f>
        <v>43563.8</v>
      </c>
      <c r="M24" s="284"/>
      <c r="N24" s="269">
        <f>+J24-L24</f>
        <v>-43563.8</v>
      </c>
      <c r="O24" s="272"/>
      <c r="Q24" s="273" t="s">
        <v>614</v>
      </c>
      <c r="R24" s="273" t="s">
        <v>615</v>
      </c>
      <c r="S24" s="273" t="s">
        <v>961</v>
      </c>
      <c r="T24" s="273" t="s">
        <v>616</v>
      </c>
    </row>
    <row r="25" spans="1:20">
      <c r="A25" s="268"/>
      <c r="B25" s="285"/>
      <c r="C25" s="284"/>
      <c r="D25" s="285"/>
      <c r="E25" s="284"/>
      <c r="F25" s="285"/>
      <c r="G25" s="270"/>
      <c r="H25" s="270"/>
      <c r="I25" s="270"/>
      <c r="J25" s="285"/>
      <c r="K25" s="284"/>
      <c r="L25" s="285"/>
      <c r="M25" s="284"/>
      <c r="N25" s="285"/>
      <c r="O25" s="272"/>
    </row>
    <row r="26" spans="1:20">
      <c r="A26" s="268"/>
      <c r="B26" s="279">
        <f>SUM(B27:B28)</f>
        <v>0</v>
      </c>
      <c r="C26" s="280"/>
      <c r="D26" s="279">
        <f>SUM(D27:D28)</f>
        <v>539345</v>
      </c>
      <c r="E26" s="280"/>
      <c r="F26" s="279">
        <f>SUM(F27:F28)</f>
        <v>-539345</v>
      </c>
      <c r="G26" s="270"/>
      <c r="H26" s="281" t="s">
        <v>1787</v>
      </c>
      <c r="I26" s="281"/>
      <c r="J26" s="279">
        <f>SUM(J27:J28)</f>
        <v>0</v>
      </c>
      <c r="K26" s="280"/>
      <c r="L26" s="279">
        <f>SUM(L27:L28)</f>
        <v>468963.62</v>
      </c>
      <c r="M26" s="280"/>
      <c r="N26" s="279">
        <f>SUM(N27:N28)</f>
        <v>-468963.62</v>
      </c>
      <c r="O26" s="272"/>
    </row>
    <row r="27" spans="1:20">
      <c r="A27" s="268"/>
      <c r="B27" s="286">
        <v>0</v>
      </c>
      <c r="C27" s="284"/>
      <c r="D27" s="286">
        <v>0</v>
      </c>
      <c r="E27" s="284"/>
      <c r="F27" s="286">
        <f>+B27-D27</f>
        <v>0</v>
      </c>
      <c r="G27" s="270"/>
      <c r="H27" s="270" t="s">
        <v>1107</v>
      </c>
      <c r="I27" s="270"/>
      <c r="J27" s="286">
        <v>0</v>
      </c>
      <c r="K27" s="284"/>
      <c r="L27" s="286">
        <v>0</v>
      </c>
      <c r="M27" s="284"/>
      <c r="N27" s="286">
        <f>+J27-L27</f>
        <v>0</v>
      </c>
      <c r="O27" s="272"/>
    </row>
    <row r="28" spans="1:20">
      <c r="A28" s="268"/>
      <c r="B28" s="269">
        <v>0</v>
      </c>
      <c r="C28" s="284"/>
      <c r="D28" s="269">
        <v>539345</v>
      </c>
      <c r="E28" s="284"/>
      <c r="F28" s="269">
        <f>+B28-D28</f>
        <v>-539345</v>
      </c>
      <c r="G28" s="270"/>
      <c r="H28" s="270" t="s">
        <v>1788</v>
      </c>
      <c r="I28" s="270"/>
      <c r="J28" s="269">
        <f>-SUM('TRAIL BALANCE'!C304)</f>
        <v>0</v>
      </c>
      <c r="K28" s="284"/>
      <c r="L28" s="269">
        <f>+'TRAIL BALANCE'!J338</f>
        <v>468963.62</v>
      </c>
      <c r="M28" s="284"/>
      <c r="N28" s="269">
        <f>+J28-L28</f>
        <v>-468963.62</v>
      </c>
      <c r="O28" s="272"/>
    </row>
    <row r="29" spans="1:20">
      <c r="A29" s="268"/>
      <c r="B29" s="284"/>
      <c r="C29" s="284"/>
      <c r="D29" s="285"/>
      <c r="E29" s="284"/>
      <c r="F29" s="284"/>
      <c r="G29" s="270"/>
      <c r="H29" s="270"/>
      <c r="I29" s="270"/>
      <c r="J29" s="284"/>
      <c r="K29" s="284"/>
      <c r="L29" s="285"/>
      <c r="M29" s="284"/>
      <c r="N29" s="284"/>
      <c r="O29" s="272"/>
    </row>
    <row r="30" spans="1:20">
      <c r="A30" s="268"/>
      <c r="B30" s="279">
        <f>SUM(B31:B34)</f>
        <v>101862</v>
      </c>
      <c r="C30" s="280"/>
      <c r="D30" s="279">
        <f>SUM(D31:D34)</f>
        <v>778771</v>
      </c>
      <c r="E30" s="280"/>
      <c r="F30" s="279">
        <f>SUM(F31:F34)</f>
        <v>-676909</v>
      </c>
      <c r="G30" s="270"/>
      <c r="H30" s="281" t="s">
        <v>1789</v>
      </c>
      <c r="I30" s="281"/>
      <c r="J30" s="279">
        <f>SUM(J31:J34)</f>
        <v>649455.90000000014</v>
      </c>
      <c r="K30" s="280"/>
      <c r="L30" s="279">
        <f>SUM(L31:L34)</f>
        <v>793933.46</v>
      </c>
      <c r="M30" s="280"/>
      <c r="N30" s="279">
        <f>SUM(N31:N34)</f>
        <v>-144477.56</v>
      </c>
      <c r="O30" s="272"/>
    </row>
    <row r="31" spans="1:20">
      <c r="A31" s="268"/>
      <c r="B31" s="286">
        <v>6244</v>
      </c>
      <c r="C31" s="284"/>
      <c r="D31" s="286">
        <v>318822</v>
      </c>
      <c r="E31" s="284"/>
      <c r="F31" s="286">
        <f>+B31-D31</f>
        <v>-312578</v>
      </c>
      <c r="G31" s="270"/>
      <c r="H31" s="270" t="s">
        <v>1106</v>
      </c>
      <c r="I31" s="270"/>
      <c r="J31" s="286">
        <f>-'TRAIL BALANCE'!K174</f>
        <v>10960.29</v>
      </c>
      <c r="K31" s="284"/>
      <c r="L31" s="286">
        <f>+'TRAIL BALANCE'!J198</f>
        <v>285877.21999999997</v>
      </c>
      <c r="M31" s="284"/>
      <c r="N31" s="286">
        <f>+J31-L31</f>
        <v>-274916.93</v>
      </c>
      <c r="O31" s="272"/>
    </row>
    <row r="32" spans="1:20">
      <c r="A32" s="268"/>
      <c r="B32" s="287">
        <v>0</v>
      </c>
      <c r="C32" s="284"/>
      <c r="D32" s="287">
        <v>217209</v>
      </c>
      <c r="E32" s="284"/>
      <c r="F32" s="287">
        <f>+B32-D32</f>
        <v>-217209</v>
      </c>
      <c r="G32" s="270"/>
      <c r="H32" s="270" t="s">
        <v>612</v>
      </c>
      <c r="I32" s="270"/>
      <c r="J32" s="287">
        <f>-SUM('TRAIL BALANCE'!C199)</f>
        <v>0</v>
      </c>
      <c r="K32" s="284"/>
      <c r="L32" s="287">
        <f>+'TRAIL BALANCE'!J604+'TRAIL BALANCE'!J219</f>
        <v>343877.42000000004</v>
      </c>
      <c r="M32" s="284"/>
      <c r="N32" s="287">
        <f>+J32-L32</f>
        <v>-343877.42000000004</v>
      </c>
      <c r="O32" s="272"/>
      <c r="Q32" s="273" t="s">
        <v>613</v>
      </c>
    </row>
    <row r="33" spans="1:15">
      <c r="A33" s="268"/>
      <c r="B33" s="287">
        <v>0</v>
      </c>
      <c r="C33" s="284"/>
      <c r="D33" s="287">
        <v>0</v>
      </c>
      <c r="E33" s="284"/>
      <c r="F33" s="287">
        <f>+B33-D33</f>
        <v>0</v>
      </c>
      <c r="G33" s="270"/>
      <c r="H33" s="270" t="s">
        <v>1790</v>
      </c>
      <c r="I33" s="270"/>
      <c r="J33" s="287">
        <v>0</v>
      </c>
      <c r="K33" s="284"/>
      <c r="L33" s="287">
        <v>0</v>
      </c>
      <c r="M33" s="284"/>
      <c r="N33" s="287">
        <f>+J33-L33</f>
        <v>0</v>
      </c>
      <c r="O33" s="272"/>
    </row>
    <row r="34" spans="1:15">
      <c r="A34" s="268"/>
      <c r="B34" s="269">
        <v>95618</v>
      </c>
      <c r="C34" s="284"/>
      <c r="D34" s="269">
        <v>242740</v>
      </c>
      <c r="E34" s="284"/>
      <c r="F34" s="269">
        <f>+B34-D34</f>
        <v>-147122</v>
      </c>
      <c r="G34" s="270"/>
      <c r="H34" s="270" t="s">
        <v>1791</v>
      </c>
      <c r="I34" s="270"/>
      <c r="J34" s="269">
        <f>-'TRAIL BALANCE'!K367</f>
        <v>638495.6100000001</v>
      </c>
      <c r="K34" s="284"/>
      <c r="L34" s="269">
        <f>+'TRAIL BALANCE'!J385</f>
        <v>164178.82</v>
      </c>
      <c r="M34" s="284"/>
      <c r="N34" s="269">
        <f>+J34-L34</f>
        <v>474316.7900000001</v>
      </c>
      <c r="O34" s="272"/>
    </row>
    <row r="35" spans="1:15">
      <c r="A35" s="268"/>
      <c r="B35" s="284"/>
      <c r="C35" s="284"/>
      <c r="D35" s="285"/>
      <c r="E35" s="284"/>
      <c r="F35" s="284"/>
      <c r="G35" s="270"/>
      <c r="H35" s="270"/>
      <c r="I35" s="270"/>
      <c r="J35" s="284"/>
      <c r="K35" s="284"/>
      <c r="L35" s="285"/>
      <c r="M35" s="284"/>
      <c r="N35" s="284"/>
      <c r="O35" s="272"/>
    </row>
    <row r="36" spans="1:15">
      <c r="A36" s="268"/>
      <c r="B36" s="279">
        <f>B37</f>
        <v>0</v>
      </c>
      <c r="C36" s="280"/>
      <c r="D36" s="279">
        <f>D37</f>
        <v>0</v>
      </c>
      <c r="E36" s="280"/>
      <c r="F36" s="279">
        <f>F37</f>
        <v>0</v>
      </c>
      <c r="G36" s="270"/>
      <c r="H36" s="281" t="s">
        <v>1101</v>
      </c>
      <c r="I36" s="281"/>
      <c r="J36" s="279">
        <f>J37</f>
        <v>0</v>
      </c>
      <c r="K36" s="280"/>
      <c r="L36" s="279">
        <f>L37</f>
        <v>3731.7400000000002</v>
      </c>
      <c r="M36" s="280"/>
      <c r="N36" s="279">
        <f>N37</f>
        <v>-3731.7400000000002</v>
      </c>
      <c r="O36" s="272"/>
    </row>
    <row r="37" spans="1:15">
      <c r="A37" s="268"/>
      <c r="B37" s="283">
        <v>0</v>
      </c>
      <c r="C37" s="284"/>
      <c r="D37" s="283">
        <v>0</v>
      </c>
      <c r="E37" s="284"/>
      <c r="F37" s="283">
        <f>+B37-D37</f>
        <v>0</v>
      </c>
      <c r="G37" s="270"/>
      <c r="H37" s="270" t="s">
        <v>1101</v>
      </c>
      <c r="I37" s="270"/>
      <c r="J37" s="283">
        <v>0</v>
      </c>
      <c r="K37" s="284"/>
      <c r="L37" s="283">
        <f>SUM('TRAIL BALANCE'!C589:C596)</f>
        <v>3731.7400000000002</v>
      </c>
      <c r="M37" s="284"/>
      <c r="N37" s="283">
        <f>+J37-L37</f>
        <v>-3731.7400000000002</v>
      </c>
      <c r="O37" s="272"/>
    </row>
    <row r="38" spans="1:15">
      <c r="A38" s="268"/>
      <c r="B38" s="284"/>
      <c r="C38" s="284"/>
      <c r="D38" s="285"/>
      <c r="E38" s="284"/>
      <c r="F38" s="284"/>
      <c r="G38" s="270"/>
      <c r="H38" s="270"/>
      <c r="I38" s="270"/>
      <c r="J38" s="284"/>
      <c r="K38" s="284"/>
      <c r="L38" s="285"/>
      <c r="M38" s="284"/>
      <c r="N38" s="284"/>
      <c r="O38" s="272"/>
    </row>
    <row r="39" spans="1:15">
      <c r="A39" s="268"/>
      <c r="B39" s="279">
        <f>SUM(B40:B41)</f>
        <v>0</v>
      </c>
      <c r="C39" s="280"/>
      <c r="D39" s="279">
        <f>SUM(D40:D41)</f>
        <v>0</v>
      </c>
      <c r="E39" s="280"/>
      <c r="F39" s="279">
        <f>SUM(F40:F41)</f>
        <v>0</v>
      </c>
      <c r="G39" s="270"/>
      <c r="H39" s="281" t="s">
        <v>1792</v>
      </c>
      <c r="I39" s="281"/>
      <c r="J39" s="279">
        <f>SUM(J40:J41)</f>
        <v>0</v>
      </c>
      <c r="K39" s="280"/>
      <c r="L39" s="279">
        <f>SUM(L40:L41)</f>
        <v>0</v>
      </c>
      <c r="M39" s="280"/>
      <c r="N39" s="279">
        <f>SUM(N40:N41)</f>
        <v>0</v>
      </c>
      <c r="O39" s="272"/>
    </row>
    <row r="40" spans="1:15">
      <c r="A40" s="268"/>
      <c r="B40" s="286">
        <v>0</v>
      </c>
      <c r="C40" s="284"/>
      <c r="D40" s="286">
        <v>0</v>
      </c>
      <c r="E40" s="284"/>
      <c r="F40" s="286">
        <f>+B40-D40</f>
        <v>0</v>
      </c>
      <c r="G40" s="270"/>
      <c r="H40" s="270" t="s">
        <v>1793</v>
      </c>
      <c r="I40" s="270"/>
      <c r="J40" s="286">
        <v>0</v>
      </c>
      <c r="K40" s="284"/>
      <c r="L40" s="286">
        <v>0</v>
      </c>
      <c r="M40" s="284"/>
      <c r="N40" s="286">
        <f>+J40-L40</f>
        <v>0</v>
      </c>
      <c r="O40" s="272"/>
    </row>
    <row r="41" spans="1:15">
      <c r="A41" s="268"/>
      <c r="B41" s="269">
        <v>0</v>
      </c>
      <c r="C41" s="284"/>
      <c r="D41" s="269">
        <v>0</v>
      </c>
      <c r="E41" s="284"/>
      <c r="F41" s="269">
        <f>+B41-D41</f>
        <v>0</v>
      </c>
      <c r="G41" s="270"/>
      <c r="H41" s="270" t="s">
        <v>1764</v>
      </c>
      <c r="I41" s="270"/>
      <c r="J41" s="269">
        <v>0</v>
      </c>
      <c r="K41" s="284"/>
      <c r="L41" s="269">
        <v>0</v>
      </c>
      <c r="M41" s="284"/>
      <c r="N41" s="269">
        <f>+J41-L41</f>
        <v>0</v>
      </c>
      <c r="O41" s="272"/>
    </row>
    <row r="42" spans="1:15">
      <c r="A42" s="288"/>
      <c r="B42" s="289"/>
      <c r="C42" s="289"/>
      <c r="D42" s="289"/>
      <c r="E42" s="289"/>
      <c r="F42" s="289"/>
      <c r="G42" s="290"/>
      <c r="H42" s="290"/>
      <c r="I42" s="290"/>
      <c r="J42" s="289"/>
      <c r="K42" s="289"/>
      <c r="L42" s="289"/>
      <c r="M42" s="289"/>
      <c r="N42" s="289"/>
      <c r="O42" s="291"/>
    </row>
    <row r="43" spans="1:15">
      <c r="A43" s="380"/>
      <c r="B43" s="381"/>
      <c r="C43" s="381"/>
      <c r="D43" s="381"/>
      <c r="E43" s="381"/>
      <c r="F43" s="381"/>
      <c r="G43" s="380"/>
      <c r="H43" s="380"/>
      <c r="I43" s="380"/>
      <c r="J43" s="381"/>
      <c r="K43" s="381"/>
      <c r="L43" s="381"/>
      <c r="M43" s="381"/>
      <c r="N43" s="381"/>
      <c r="O43" s="380"/>
    </row>
    <row r="44" spans="1:15" s="292" customFormat="1">
      <c r="B44" s="271"/>
      <c r="C44" s="271"/>
      <c r="D44" s="271"/>
      <c r="E44" s="271"/>
      <c r="F44" s="271"/>
      <c r="J44" s="271"/>
      <c r="K44" s="271"/>
      <c r="L44" s="271"/>
      <c r="M44" s="271"/>
      <c r="N44" s="271"/>
    </row>
    <row r="45" spans="1:15" s="292" customFormat="1">
      <c r="B45" s="1449" t="s">
        <v>1794</v>
      </c>
      <c r="C45" s="1449"/>
      <c r="D45" s="1449"/>
      <c r="E45" s="1449"/>
      <c r="F45" s="1449"/>
      <c r="G45" s="1449"/>
      <c r="H45" s="1449"/>
      <c r="I45" s="1449"/>
      <c r="J45" s="1449"/>
      <c r="K45" s="1449"/>
      <c r="L45" s="1449"/>
      <c r="M45" s="1449"/>
      <c r="N45" s="1449"/>
    </row>
    <row r="46" spans="1:15" s="292" customFormat="1">
      <c r="B46" s="1449" t="s">
        <v>1795</v>
      </c>
      <c r="C46" s="1449"/>
      <c r="D46" s="1449"/>
      <c r="E46" s="1449"/>
      <c r="F46" s="1449"/>
      <c r="G46" s="1449"/>
      <c r="H46" s="1449"/>
      <c r="I46" s="1449"/>
      <c r="J46" s="1449"/>
      <c r="K46" s="1449"/>
      <c r="L46" s="1449"/>
      <c r="M46" s="1449"/>
      <c r="N46" s="1449"/>
    </row>
    <row r="47" spans="1:15" s="292" customFormat="1">
      <c r="B47" s="1449" t="s">
        <v>2386</v>
      </c>
      <c r="C47" s="1449"/>
      <c r="D47" s="1449"/>
      <c r="E47" s="1449"/>
      <c r="F47" s="1449"/>
      <c r="G47" s="1449"/>
      <c r="H47" s="1449"/>
      <c r="I47" s="1449"/>
      <c r="J47" s="1449"/>
      <c r="K47" s="1449"/>
      <c r="L47" s="1449"/>
      <c r="M47" s="1449"/>
      <c r="N47" s="1449"/>
    </row>
    <row r="48" spans="1:15" s="292" customFormat="1">
      <c r="A48" s="382"/>
      <c r="B48" s="293"/>
      <c r="C48" s="293"/>
      <c r="D48" s="293"/>
      <c r="E48" s="293"/>
      <c r="F48" s="293"/>
      <c r="G48" s="293"/>
      <c r="H48" s="293"/>
      <c r="I48" s="293"/>
      <c r="J48" s="293"/>
      <c r="K48" s="293"/>
      <c r="L48" s="293"/>
      <c r="M48" s="293"/>
      <c r="N48" s="293"/>
      <c r="O48" s="382"/>
    </row>
    <row r="49" spans="1:17" s="292" customFormat="1">
      <c r="A49" s="383"/>
      <c r="B49" s="384"/>
      <c r="C49" s="384"/>
      <c r="D49" s="384"/>
      <c r="E49" s="384"/>
      <c r="F49" s="384"/>
      <c r="G49" s="384"/>
      <c r="H49" s="384"/>
      <c r="I49" s="384"/>
      <c r="J49" s="384"/>
      <c r="K49" s="384"/>
      <c r="L49" s="384"/>
      <c r="M49" s="384"/>
      <c r="N49" s="384"/>
      <c r="O49" s="385"/>
    </row>
    <row r="50" spans="1:17" s="292" customFormat="1">
      <c r="A50" s="1441"/>
      <c r="B50" s="294" t="s">
        <v>3558</v>
      </c>
      <c r="C50" s="1443"/>
      <c r="D50" s="294" t="s">
        <v>3558</v>
      </c>
      <c r="E50" s="1443"/>
      <c r="F50" s="294" t="s">
        <v>3558</v>
      </c>
      <c r="G50" s="1445"/>
      <c r="H50" s="1445"/>
      <c r="I50" s="1445"/>
      <c r="J50" s="294" t="s">
        <v>2241</v>
      </c>
      <c r="K50" s="1443"/>
      <c r="L50" s="294" t="s">
        <v>2241</v>
      </c>
      <c r="M50" s="1443"/>
      <c r="N50" s="294" t="s">
        <v>2241</v>
      </c>
      <c r="O50" s="1447"/>
    </row>
    <row r="51" spans="1:17">
      <c r="A51" s="1441"/>
      <c r="B51" s="278" t="s">
        <v>1606</v>
      </c>
      <c r="C51" s="1443"/>
      <c r="D51" s="278" t="s">
        <v>1606</v>
      </c>
      <c r="E51" s="1443"/>
      <c r="F51" s="278" t="s">
        <v>1778</v>
      </c>
      <c r="G51" s="1445"/>
      <c r="H51" s="1445"/>
      <c r="I51" s="1445"/>
      <c r="J51" s="278" t="s">
        <v>1606</v>
      </c>
      <c r="K51" s="1443"/>
      <c r="L51" s="278" t="s">
        <v>1606</v>
      </c>
      <c r="M51" s="1443"/>
      <c r="N51" s="278" t="s">
        <v>1606</v>
      </c>
      <c r="O51" s="1447"/>
    </row>
    <row r="52" spans="1:17">
      <c r="A52" s="1441"/>
      <c r="B52" s="278" t="s">
        <v>689</v>
      </c>
      <c r="C52" s="1443"/>
      <c r="D52" s="278" t="s">
        <v>691</v>
      </c>
      <c r="E52" s="1443"/>
      <c r="F52" s="278" t="s">
        <v>1779</v>
      </c>
      <c r="G52" s="1445"/>
      <c r="H52" s="1445"/>
      <c r="I52" s="1445"/>
      <c r="J52" s="278" t="s">
        <v>689</v>
      </c>
      <c r="K52" s="1443"/>
      <c r="L52" s="278" t="s">
        <v>691</v>
      </c>
      <c r="M52" s="1443"/>
      <c r="N52" s="278" t="s">
        <v>1778</v>
      </c>
      <c r="O52" s="1447"/>
    </row>
    <row r="53" spans="1:17">
      <c r="A53" s="1441"/>
      <c r="B53" s="278"/>
      <c r="C53" s="1443"/>
      <c r="D53" s="278"/>
      <c r="E53" s="1443"/>
      <c r="F53" s="278"/>
      <c r="G53" s="1445"/>
      <c r="H53" s="1445"/>
      <c r="I53" s="1445"/>
      <c r="J53" s="278"/>
      <c r="K53" s="1443"/>
      <c r="L53" s="278"/>
      <c r="M53" s="1443"/>
      <c r="N53" s="278" t="s">
        <v>1779</v>
      </c>
      <c r="O53" s="1447"/>
    </row>
    <row r="54" spans="1:17">
      <c r="A54" s="1441"/>
      <c r="B54" s="278" t="s">
        <v>3386</v>
      </c>
      <c r="C54" s="1443"/>
      <c r="D54" s="278" t="s">
        <v>3386</v>
      </c>
      <c r="E54" s="1443"/>
      <c r="F54" s="278" t="s">
        <v>3386</v>
      </c>
      <c r="G54" s="1445"/>
      <c r="H54" s="1445"/>
      <c r="I54" s="1445"/>
      <c r="J54" s="278" t="s">
        <v>3386</v>
      </c>
      <c r="K54" s="1443"/>
      <c r="L54" s="278" t="s">
        <v>3386</v>
      </c>
      <c r="M54" s="1443"/>
      <c r="N54" s="278" t="s">
        <v>3386</v>
      </c>
      <c r="O54" s="1447"/>
    </row>
    <row r="55" spans="1:17">
      <c r="A55" s="277"/>
      <c r="B55" s="279">
        <f>B56</f>
        <v>22434</v>
      </c>
      <c r="C55" s="281"/>
      <c r="D55" s="279">
        <f>D56</f>
        <v>1585645</v>
      </c>
      <c r="E55" s="281"/>
      <c r="F55" s="279">
        <f>F56</f>
        <v>-1563211</v>
      </c>
      <c r="G55" s="281"/>
      <c r="H55" s="281" t="s">
        <v>1796</v>
      </c>
      <c r="I55" s="281"/>
      <c r="J55" s="279">
        <f>J56</f>
        <v>32312.2</v>
      </c>
      <c r="K55" s="271"/>
      <c r="L55" s="279">
        <f>L56</f>
        <v>1845488.9100000001</v>
      </c>
      <c r="M55" s="281"/>
      <c r="N55" s="279">
        <f>N56</f>
        <v>-1813176.7100000002</v>
      </c>
      <c r="O55" s="282"/>
    </row>
    <row r="56" spans="1:17">
      <c r="A56" s="268"/>
      <c r="B56" s="283">
        <v>22434</v>
      </c>
      <c r="C56" s="270"/>
      <c r="D56" s="283">
        <v>1585645</v>
      </c>
      <c r="E56" s="270"/>
      <c r="F56" s="283">
        <f>+B56-D56</f>
        <v>-1563211</v>
      </c>
      <c r="G56" s="270"/>
      <c r="H56" s="270" t="s">
        <v>1796</v>
      </c>
      <c r="I56" s="270"/>
      <c r="J56" s="283">
        <f>-'TRAIL BALANCE'!K341</f>
        <v>32312.2</v>
      </c>
      <c r="K56" s="271"/>
      <c r="L56" s="283">
        <f>+'TRAIL BALANCE'!J364</f>
        <v>1845488.9100000001</v>
      </c>
      <c r="M56" s="270"/>
      <c r="N56" s="283">
        <f>+J56-L56</f>
        <v>-1813176.7100000002</v>
      </c>
      <c r="O56" s="272"/>
    </row>
    <row r="57" spans="1:17">
      <c r="A57" s="268"/>
      <c r="B57" s="285"/>
      <c r="C57" s="270"/>
      <c r="D57" s="285"/>
      <c r="E57" s="270"/>
      <c r="F57" s="285"/>
      <c r="G57" s="270"/>
      <c r="H57" s="270"/>
      <c r="I57" s="270"/>
      <c r="J57" s="285"/>
      <c r="K57" s="271"/>
      <c r="L57" s="285"/>
      <c r="M57" s="270"/>
      <c r="N57" s="285"/>
      <c r="O57" s="272"/>
    </row>
    <row r="58" spans="1:17">
      <c r="A58" s="268"/>
      <c r="B58" s="279">
        <f>SUM(B59:B61)</f>
        <v>4663948</v>
      </c>
      <c r="C58" s="281"/>
      <c r="D58" s="279">
        <f>SUM(D59:D61)</f>
        <v>4923230</v>
      </c>
      <c r="E58" s="281"/>
      <c r="F58" s="279">
        <f>SUM(F59:F61)</f>
        <v>-259282</v>
      </c>
      <c r="G58" s="270"/>
      <c r="H58" s="281" t="s">
        <v>1797</v>
      </c>
      <c r="I58" s="270"/>
      <c r="J58" s="279">
        <f>SUM(J59:J61)</f>
        <v>3910829.34</v>
      </c>
      <c r="K58" s="271"/>
      <c r="L58" s="279">
        <f>SUM(L59:L61)</f>
        <v>4168816.3199999994</v>
      </c>
      <c r="M58" s="281"/>
      <c r="N58" s="279">
        <f>SUM(N59:N61)</f>
        <v>-257986.97999999952</v>
      </c>
      <c r="O58" s="272"/>
    </row>
    <row r="59" spans="1:17">
      <c r="A59" s="268"/>
      <c r="B59" s="286">
        <v>0</v>
      </c>
      <c r="C59" s="270"/>
      <c r="D59" s="286">
        <v>0</v>
      </c>
      <c r="E59" s="270"/>
      <c r="F59" s="286">
        <f>+B59-D59</f>
        <v>0</v>
      </c>
      <c r="G59" s="270"/>
      <c r="H59" s="270" t="s">
        <v>1611</v>
      </c>
      <c r="I59" s="270"/>
      <c r="J59" s="286">
        <v>0</v>
      </c>
      <c r="K59" s="271"/>
      <c r="L59" s="286">
        <v>0</v>
      </c>
      <c r="M59" s="270"/>
      <c r="N59" s="286">
        <f>+J59-L59</f>
        <v>0</v>
      </c>
      <c r="O59" s="272"/>
    </row>
    <row r="60" spans="1:17">
      <c r="A60" s="268"/>
      <c r="B60" s="287">
        <v>0</v>
      </c>
      <c r="C60" s="270"/>
      <c r="D60" s="287">
        <v>0</v>
      </c>
      <c r="E60" s="270"/>
      <c r="F60" s="287">
        <f>+B60-D60</f>
        <v>0</v>
      </c>
      <c r="G60" s="270"/>
      <c r="H60" s="270" t="s">
        <v>1798</v>
      </c>
      <c r="I60" s="270"/>
      <c r="J60" s="287">
        <v>0</v>
      </c>
      <c r="K60" s="271"/>
      <c r="L60" s="287">
        <v>0</v>
      </c>
      <c r="M60" s="270"/>
      <c r="N60" s="287">
        <f>+J60-L60</f>
        <v>0</v>
      </c>
      <c r="O60" s="272"/>
    </row>
    <row r="61" spans="1:17">
      <c r="A61" s="268"/>
      <c r="B61" s="269">
        <v>4663948</v>
      </c>
      <c r="C61" s="270"/>
      <c r="D61" s="269">
        <v>4923230</v>
      </c>
      <c r="E61" s="270"/>
      <c r="F61" s="269">
        <f>+B61-D61</f>
        <v>-259282</v>
      </c>
      <c r="G61" s="270"/>
      <c r="H61" s="270" t="s">
        <v>1610</v>
      </c>
      <c r="I61" s="270"/>
      <c r="J61" s="269">
        <f>-'TRAIL BALANCE'!K386</f>
        <v>3910829.34</v>
      </c>
      <c r="K61" s="271"/>
      <c r="L61" s="269">
        <f>+'TRAIL BALANCE'!J419</f>
        <v>4168816.3199999994</v>
      </c>
      <c r="M61" s="270"/>
      <c r="N61" s="269">
        <f>+J61-L61</f>
        <v>-257986.97999999952</v>
      </c>
      <c r="O61" s="272"/>
    </row>
    <row r="62" spans="1:17">
      <c r="A62" s="268"/>
      <c r="B62" s="284"/>
      <c r="C62" s="270"/>
      <c r="D62" s="285"/>
      <c r="E62" s="270"/>
      <c r="F62" s="284"/>
      <c r="G62" s="270"/>
      <c r="H62" s="270"/>
      <c r="I62" s="270"/>
      <c r="J62" s="284"/>
      <c r="K62" s="271"/>
      <c r="L62" s="285"/>
      <c r="M62" s="270"/>
      <c r="N62" s="284"/>
      <c r="O62" s="272"/>
    </row>
    <row r="63" spans="1:17">
      <c r="A63" s="268"/>
      <c r="B63" s="279">
        <f>SUM(B64:B66)</f>
        <v>8758196</v>
      </c>
      <c r="C63" s="281"/>
      <c r="D63" s="279">
        <f>SUM(D64:D66)</f>
        <v>10988394</v>
      </c>
      <c r="E63" s="281"/>
      <c r="F63" s="279">
        <f>SUM(F64:F66)</f>
        <v>-2230198</v>
      </c>
      <c r="G63" s="270"/>
      <c r="H63" s="281" t="s">
        <v>1799</v>
      </c>
      <c r="I63" s="270"/>
      <c r="J63" s="279">
        <f>SUM(J64:J66)</f>
        <v>26476610.470000003</v>
      </c>
      <c r="K63" s="271"/>
      <c r="L63" s="279">
        <f>SUM(L64:L66)</f>
        <v>6319803.6600000001</v>
      </c>
      <c r="M63" s="281"/>
      <c r="N63" s="279">
        <f>SUM(N64:N66)</f>
        <v>20156806.810000002</v>
      </c>
      <c r="O63" s="272"/>
    </row>
    <row r="64" spans="1:17">
      <c r="A64" s="268"/>
      <c r="B64" s="286">
        <v>6060370</v>
      </c>
      <c r="C64" s="270"/>
      <c r="D64" s="286">
        <v>8697624</v>
      </c>
      <c r="E64" s="270"/>
      <c r="F64" s="286">
        <f>+B64-D64</f>
        <v>-2637254</v>
      </c>
      <c r="G64" s="270"/>
      <c r="H64" s="270" t="s">
        <v>3220</v>
      </c>
      <c r="I64" s="270"/>
      <c r="J64" s="286">
        <f>-'TRAIL BALANCE'!K456</f>
        <v>23447646.260000002</v>
      </c>
      <c r="K64" s="271"/>
      <c r="L64" s="286">
        <f>+'TRAIL BALANCE'!J489</f>
        <v>3294584.3499999992</v>
      </c>
      <c r="M64" s="270"/>
      <c r="N64" s="286">
        <f>+J64-L64</f>
        <v>20153061.910000004</v>
      </c>
      <c r="O64" s="272"/>
      <c r="Q64" s="273" t="s">
        <v>610</v>
      </c>
    </row>
    <row r="65" spans="1:15">
      <c r="A65" s="268"/>
      <c r="B65" s="287">
        <v>2697826</v>
      </c>
      <c r="C65" s="270"/>
      <c r="D65" s="287">
        <v>2290770</v>
      </c>
      <c r="E65" s="270"/>
      <c r="F65" s="287">
        <f>+B65-D65</f>
        <v>407056</v>
      </c>
      <c r="G65" s="270"/>
      <c r="H65" s="270" t="s">
        <v>3221</v>
      </c>
      <c r="I65" s="270"/>
      <c r="J65" s="287">
        <f>-'TRAIL BALANCE'!K616</f>
        <v>3028964.21</v>
      </c>
      <c r="K65" s="271"/>
      <c r="L65" s="287">
        <f>+'TRAIL BALANCE'!J653</f>
        <v>3025219.3100000005</v>
      </c>
      <c r="M65" s="270"/>
      <c r="N65" s="287">
        <f>+J65-L65</f>
        <v>3744.8999999994412</v>
      </c>
      <c r="O65" s="272"/>
    </row>
    <row r="66" spans="1:15">
      <c r="A66" s="268"/>
      <c r="B66" s="269">
        <v>0</v>
      </c>
      <c r="C66" s="270"/>
      <c r="D66" s="269">
        <v>0</v>
      </c>
      <c r="E66" s="270"/>
      <c r="F66" s="269">
        <f>+B66-D66</f>
        <v>0</v>
      </c>
      <c r="G66" s="270"/>
      <c r="H66" s="270" t="s">
        <v>3222</v>
      </c>
      <c r="I66" s="270"/>
      <c r="J66" s="269">
        <v>0</v>
      </c>
      <c r="K66" s="271"/>
      <c r="L66" s="269">
        <v>0</v>
      </c>
      <c r="M66" s="270"/>
      <c r="N66" s="269">
        <f>+J66-L66</f>
        <v>0</v>
      </c>
      <c r="O66" s="272"/>
    </row>
    <row r="67" spans="1:15">
      <c r="A67" s="268"/>
      <c r="B67" s="285"/>
      <c r="C67" s="270"/>
      <c r="D67" s="285"/>
      <c r="E67" s="270"/>
      <c r="F67" s="285"/>
      <c r="G67" s="270"/>
      <c r="H67" s="270"/>
      <c r="I67" s="270"/>
      <c r="J67" s="285"/>
      <c r="K67" s="271"/>
      <c r="L67" s="285"/>
      <c r="M67" s="270"/>
      <c r="N67" s="285"/>
      <c r="O67" s="272"/>
    </row>
    <row r="68" spans="1:15">
      <c r="A68" s="268"/>
      <c r="B68" s="279">
        <f>SUM(B69:B70)</f>
        <v>0</v>
      </c>
      <c r="C68" s="281"/>
      <c r="D68" s="279">
        <f>SUM(D69:D70)</f>
        <v>0</v>
      </c>
      <c r="E68" s="281"/>
      <c r="F68" s="279">
        <f>SUM(F69:F70)</f>
        <v>0</v>
      </c>
      <c r="G68" s="270"/>
      <c r="H68" s="281" t="s">
        <v>1612</v>
      </c>
      <c r="I68" s="270"/>
      <c r="J68" s="279">
        <f>SUM(J69:J70)</f>
        <v>0</v>
      </c>
      <c r="K68" s="271"/>
      <c r="L68" s="279">
        <f>SUM(L69:L70)</f>
        <v>0</v>
      </c>
      <c r="M68" s="281"/>
      <c r="N68" s="279">
        <f>SUM(N69:N70)</f>
        <v>0</v>
      </c>
      <c r="O68" s="272"/>
    </row>
    <row r="69" spans="1:15">
      <c r="A69" s="268"/>
      <c r="B69" s="286">
        <v>0</v>
      </c>
      <c r="C69" s="270"/>
      <c r="D69" s="286">
        <v>0</v>
      </c>
      <c r="E69" s="270"/>
      <c r="F69" s="286">
        <f>+B69-D69</f>
        <v>0</v>
      </c>
      <c r="G69" s="270"/>
      <c r="H69" s="270" t="s">
        <v>3223</v>
      </c>
      <c r="I69" s="270"/>
      <c r="J69" s="286">
        <v>0</v>
      </c>
      <c r="K69" s="271"/>
      <c r="L69" s="286">
        <v>0</v>
      </c>
      <c r="M69" s="270"/>
      <c r="N69" s="286">
        <f>+J69-L69</f>
        <v>0</v>
      </c>
      <c r="O69" s="272"/>
    </row>
    <row r="70" spans="1:15">
      <c r="A70" s="268"/>
      <c r="B70" s="269">
        <v>0</v>
      </c>
      <c r="C70" s="270"/>
      <c r="D70" s="269">
        <v>0</v>
      </c>
      <c r="E70" s="270"/>
      <c r="F70" s="269">
        <f>+B70-D70</f>
        <v>0</v>
      </c>
      <c r="G70" s="270"/>
      <c r="H70" s="270" t="s">
        <v>3224</v>
      </c>
      <c r="I70" s="270"/>
      <c r="J70" s="269">
        <v>0</v>
      </c>
      <c r="K70" s="271"/>
      <c r="L70" s="269">
        <v>0</v>
      </c>
      <c r="M70" s="270"/>
      <c r="N70" s="269">
        <f>+J70-L70</f>
        <v>0</v>
      </c>
      <c r="O70" s="272"/>
    </row>
    <row r="71" spans="1:15">
      <c r="A71" s="268"/>
      <c r="B71" s="284"/>
      <c r="C71" s="270"/>
      <c r="D71" s="285"/>
      <c r="E71" s="270"/>
      <c r="F71" s="284"/>
      <c r="G71" s="270"/>
      <c r="H71" s="270"/>
      <c r="I71" s="270"/>
      <c r="J71" s="284"/>
      <c r="K71" s="271"/>
      <c r="L71" s="285"/>
      <c r="M71" s="270"/>
      <c r="N71" s="284"/>
      <c r="O71" s="272"/>
    </row>
    <row r="72" spans="1:15">
      <c r="A72" s="268"/>
      <c r="B72" s="279">
        <f>SUM(B73:B74)</f>
        <v>20350536</v>
      </c>
      <c r="C72" s="281"/>
      <c r="D72" s="279">
        <f>SUM(D73:D74)</f>
        <v>15908743</v>
      </c>
      <c r="E72" s="281"/>
      <c r="F72" s="279">
        <f>SUM(F73:F74)</f>
        <v>4441793</v>
      </c>
      <c r="G72" s="270"/>
      <c r="H72" s="281" t="s">
        <v>1609</v>
      </c>
      <c r="I72" s="270"/>
      <c r="J72" s="279">
        <f>SUM(J73:J74)</f>
        <v>20757570.349999998</v>
      </c>
      <c r="K72" s="271"/>
      <c r="L72" s="279">
        <f>SUM(L73:L74)</f>
        <v>15420024.729999999</v>
      </c>
      <c r="M72" s="281"/>
      <c r="N72" s="279">
        <f>SUM(N73:N74)</f>
        <v>5337545.6199999992</v>
      </c>
      <c r="O72" s="272"/>
    </row>
    <row r="73" spans="1:15">
      <c r="A73" s="268"/>
      <c r="B73" s="286">
        <v>20350536</v>
      </c>
      <c r="C73" s="270"/>
      <c r="D73" s="286">
        <v>15879533</v>
      </c>
      <c r="E73" s="270"/>
      <c r="F73" s="286">
        <f>+B73-D73</f>
        <v>4471003</v>
      </c>
      <c r="G73" s="270"/>
      <c r="H73" s="270" t="s">
        <v>3225</v>
      </c>
      <c r="I73" s="270"/>
      <c r="J73" s="286">
        <f>-'TRAIL BALANCE'!K519</f>
        <v>20757570.349999998</v>
      </c>
      <c r="K73" s="271"/>
      <c r="L73" s="286">
        <f>SUM('TRAIL BALANCE'!C523:C557)</f>
        <v>15410160.079999998</v>
      </c>
      <c r="M73" s="270"/>
      <c r="N73" s="286">
        <f>+J73-L73</f>
        <v>5347410.2699999996</v>
      </c>
      <c r="O73" s="272"/>
    </row>
    <row r="74" spans="1:15">
      <c r="A74" s="268"/>
      <c r="B74" s="269">
        <v>0</v>
      </c>
      <c r="C74" s="270"/>
      <c r="D74" s="269">
        <v>29210</v>
      </c>
      <c r="E74" s="270"/>
      <c r="F74" s="269">
        <f>+B74-D74</f>
        <v>-29210</v>
      </c>
      <c r="G74" s="270"/>
      <c r="H74" s="270" t="s">
        <v>3226</v>
      </c>
      <c r="I74" s="270"/>
      <c r="J74" s="269">
        <v>0</v>
      </c>
      <c r="K74" s="271"/>
      <c r="L74" s="269">
        <f>SUM('TRAIL BALANCE'!C558:C564)</f>
        <v>9864.65</v>
      </c>
      <c r="M74" s="270"/>
      <c r="N74" s="269">
        <f>+J74-L74</f>
        <v>-9864.65</v>
      </c>
      <c r="O74" s="272"/>
    </row>
    <row r="75" spans="1:15">
      <c r="A75" s="268"/>
      <c r="B75" s="284"/>
      <c r="C75" s="270"/>
      <c r="D75" s="285"/>
      <c r="E75" s="270"/>
      <c r="F75" s="284"/>
      <c r="G75" s="270"/>
      <c r="H75" s="270"/>
      <c r="I75" s="270"/>
      <c r="J75" s="284"/>
      <c r="K75" s="271"/>
      <c r="L75" s="285"/>
      <c r="M75" s="270"/>
      <c r="N75" s="284"/>
      <c r="O75" s="272"/>
    </row>
    <row r="76" spans="1:15">
      <c r="A76" s="277"/>
      <c r="B76" s="295">
        <f>B72+B68+B63+B58+B55+B39+B36+B30+B26+B20+B13+B10</f>
        <v>54599645</v>
      </c>
      <c r="C76" s="296"/>
      <c r="D76" s="295">
        <f>D72+D68+D63+D58+D55+D39+D36+D30+D26+D20+D13+D10</f>
        <v>63686055.004000001</v>
      </c>
      <c r="E76" s="296"/>
      <c r="F76" s="295">
        <f>F72+F68+F63+F58+F55+F39+F36+F30+F26+F20+F13+F10</f>
        <v>-9086410.0040000007</v>
      </c>
      <c r="G76" s="281"/>
      <c r="H76" s="281" t="s">
        <v>705</v>
      </c>
      <c r="I76" s="281"/>
      <c r="J76" s="295">
        <f>J72+J68+J63+J58+J55+J39+J36+J30+J26+J20+J13+J10</f>
        <v>74277838.429999992</v>
      </c>
      <c r="K76" s="297"/>
      <c r="L76" s="295">
        <f>L72+L68+L63+L58+L55+L39+L36+L30+L26+L20+L13+L10</f>
        <v>63352565.460000008</v>
      </c>
      <c r="M76" s="296"/>
      <c r="N76" s="295">
        <f>N72+N68+N63+N58+N55+N39+N36+N30+N26+N20+N13+N10</f>
        <v>10925272.969999997</v>
      </c>
      <c r="O76" s="282"/>
    </row>
    <row r="77" spans="1:15" ht="25.5">
      <c r="A77" s="268"/>
      <c r="B77" s="285">
        <v>0</v>
      </c>
      <c r="C77" s="281"/>
      <c r="D77" s="285">
        <v>0</v>
      </c>
      <c r="E77" s="281"/>
      <c r="F77" s="279">
        <f>+B77-D77</f>
        <v>0</v>
      </c>
      <c r="G77" s="270"/>
      <c r="H77" s="270" t="s">
        <v>3227</v>
      </c>
      <c r="I77" s="270"/>
      <c r="J77" s="285"/>
      <c r="K77" s="271"/>
      <c r="L77" s="285"/>
      <c r="M77" s="270"/>
      <c r="N77" s="279" t="s">
        <v>1074</v>
      </c>
      <c r="O77" s="272"/>
    </row>
    <row r="78" spans="1:15" ht="13.5" thickBot="1">
      <c r="A78" s="268"/>
      <c r="B78" s="298">
        <f>SUM(B76:B77)</f>
        <v>54599645</v>
      </c>
      <c r="C78" s="299"/>
      <c r="D78" s="298">
        <f>SUM(D76:D77)</f>
        <v>63686055.004000001</v>
      </c>
      <c r="E78" s="299"/>
      <c r="F78" s="298">
        <f>SUM(F76:F77)</f>
        <v>-9086410.0040000007</v>
      </c>
      <c r="G78" s="270"/>
      <c r="H78" s="281" t="s">
        <v>2384</v>
      </c>
      <c r="I78" s="270"/>
      <c r="J78" s="298">
        <f>SUM(J76:J77)</f>
        <v>74277838.429999992</v>
      </c>
      <c r="K78" s="300"/>
      <c r="L78" s="298">
        <f>SUM(L76:L77)</f>
        <v>63352565.460000008</v>
      </c>
      <c r="M78" s="301"/>
      <c r="N78" s="298">
        <f>SUM(N76:N77)</f>
        <v>10925272.969999997</v>
      </c>
      <c r="O78" s="272"/>
    </row>
    <row r="79" spans="1:15" ht="13.5" thickTop="1">
      <c r="A79" s="288"/>
      <c r="B79" s="289"/>
      <c r="C79" s="290"/>
      <c r="D79" s="289"/>
      <c r="E79" s="290"/>
      <c r="F79" s="289"/>
      <c r="G79" s="290"/>
      <c r="H79" s="290"/>
      <c r="I79" s="290"/>
      <c r="J79" s="289"/>
      <c r="K79" s="302"/>
      <c r="L79" s="289"/>
      <c r="M79" s="290"/>
      <c r="N79" s="289"/>
      <c r="O79" s="291"/>
    </row>
    <row r="81" spans="8:12">
      <c r="J81" s="303">
        <f>+'TRAIL BALANCE'!K655</f>
        <v>-74277838.429999992</v>
      </c>
      <c r="L81" s="303">
        <f>SUM('Statement of Financial Performa'!F44)</f>
        <v>63352549.189999998</v>
      </c>
    </row>
    <row r="83" spans="8:12">
      <c r="H83" s="273" t="s">
        <v>2824</v>
      </c>
      <c r="J83" s="303">
        <f>+J78+J81</f>
        <v>0</v>
      </c>
      <c r="L83" s="303">
        <f>SUM(L78-L81)</f>
        <v>16.270000010728836</v>
      </c>
    </row>
  </sheetData>
  <mergeCells count="24">
    <mergeCell ref="O50:O54"/>
    <mergeCell ref="K50:K54"/>
    <mergeCell ref="O5:O9"/>
    <mergeCell ref="B45:N45"/>
    <mergeCell ref="B46:N46"/>
    <mergeCell ref="B47:N47"/>
    <mergeCell ref="H5:H9"/>
    <mergeCell ref="B1:N1"/>
    <mergeCell ref="B2:N2"/>
    <mergeCell ref="B3:N3"/>
    <mergeCell ref="I50:I54"/>
    <mergeCell ref="I5:I9"/>
    <mergeCell ref="K5:K9"/>
    <mergeCell ref="M5:M9"/>
    <mergeCell ref="H50:H54"/>
    <mergeCell ref="M50:M54"/>
    <mergeCell ref="A5:A9"/>
    <mergeCell ref="C5:C9"/>
    <mergeCell ref="E5:E9"/>
    <mergeCell ref="G5:G9"/>
    <mergeCell ref="A50:A54"/>
    <mergeCell ref="C50:C54"/>
    <mergeCell ref="E50:E54"/>
    <mergeCell ref="G50:G54"/>
  </mergeCells>
  <phoneticPr fontId="0" type="noConversion"/>
  <printOptions horizontalCentered="1"/>
  <pageMargins left="0.6692913385826772" right="0.39370078740157483" top="0.98425196850393704" bottom="0.98425196850393704" header="0.51181102362204722" footer="0.51181102362204722"/>
  <pageSetup scale="66" orientation="portrait" r:id="rId1"/>
  <headerFooter>
    <oddHeader>&amp;C FINANCIAL STATEMENTS: MUSINA LOCAL MUNICIPALITY</oddHeader>
    <oddFooter>&amp;RPage &amp;P</oddFooter>
  </headerFooter>
  <colBreaks count="1" manualBreakCount="1">
    <brk id="15" max="1048575" man="1"/>
  </colBreaks>
</worksheet>
</file>

<file path=xl/worksheets/sheet25.xml><?xml version="1.0" encoding="utf-8"?>
<worksheet xmlns="http://schemas.openxmlformats.org/spreadsheetml/2006/main" xmlns:r="http://schemas.openxmlformats.org/officeDocument/2006/relationships">
  <sheetPr>
    <pageSetUpPr fitToPage="1"/>
  </sheetPr>
  <dimension ref="A1:I52"/>
  <sheetViews>
    <sheetView view="pageBreakPreview" topLeftCell="A22" zoomScaleSheetLayoutView="100" workbookViewId="0">
      <selection activeCell="C48" sqref="C48"/>
    </sheetView>
  </sheetViews>
  <sheetFormatPr defaultRowHeight="12.75"/>
  <cols>
    <col min="1" max="1" width="41.42578125" style="22" customWidth="1"/>
    <col min="2" max="2" width="15.5703125" style="31" bestFit="1" customWidth="1"/>
    <col min="3" max="3" width="14.85546875" style="31" bestFit="1" customWidth="1"/>
    <col min="4" max="4" width="15.140625" style="31" bestFit="1" customWidth="1"/>
    <col min="5" max="5" width="16.7109375" style="31" bestFit="1" customWidth="1"/>
    <col min="6" max="6" width="37.85546875" style="29" customWidth="1"/>
    <col min="7" max="7" width="10.28515625" style="22" bestFit="1" customWidth="1"/>
    <col min="8" max="8" width="11.85546875" style="22" bestFit="1" customWidth="1"/>
    <col min="9" max="16384" width="9.140625" style="22"/>
  </cols>
  <sheetData>
    <row r="1" spans="1:8">
      <c r="A1" s="1452" t="s">
        <v>3452</v>
      </c>
      <c r="B1" s="1452"/>
      <c r="C1" s="1452"/>
      <c r="D1" s="1452"/>
      <c r="E1" s="1452"/>
      <c r="F1" s="1452"/>
    </row>
    <row r="2" spans="1:8">
      <c r="A2" s="1452" t="s">
        <v>1540</v>
      </c>
      <c r="B2" s="1452"/>
      <c r="C2" s="1452"/>
      <c r="D2" s="1452"/>
      <c r="E2" s="1452"/>
      <c r="F2" s="1452"/>
    </row>
    <row r="3" spans="1:8">
      <c r="A3" s="1452" t="s">
        <v>3093</v>
      </c>
      <c r="B3" s="1452"/>
      <c r="C3" s="1452"/>
      <c r="D3" s="1452"/>
      <c r="E3" s="1452"/>
      <c r="F3" s="1452"/>
    </row>
    <row r="4" spans="1:8">
      <c r="A4" s="409"/>
      <c r="B4" s="552"/>
      <c r="C4" s="552"/>
      <c r="D4" s="552"/>
      <c r="E4" s="552"/>
      <c r="F4" s="553"/>
    </row>
    <row r="5" spans="1:8" s="581" customFormat="1" ht="25.5">
      <c r="A5" s="1453"/>
      <c r="B5" s="554" t="s">
        <v>3094</v>
      </c>
      <c r="C5" s="554" t="s">
        <v>3095</v>
      </c>
      <c r="D5" s="554" t="s">
        <v>3096</v>
      </c>
      <c r="E5" s="554" t="s">
        <v>3097</v>
      </c>
      <c r="F5" s="568" t="s">
        <v>2246</v>
      </c>
    </row>
    <row r="6" spans="1:8">
      <c r="A6" s="1453"/>
      <c r="B6" s="556" t="s">
        <v>3386</v>
      </c>
      <c r="C6" s="556" t="s">
        <v>3386</v>
      </c>
      <c r="D6" s="556" t="s">
        <v>3386</v>
      </c>
      <c r="E6" s="556" t="s">
        <v>3228</v>
      </c>
      <c r="F6" s="557"/>
    </row>
    <row r="7" spans="1:8">
      <c r="A7" s="341" t="s">
        <v>1605</v>
      </c>
      <c r="B7" s="558"/>
      <c r="C7" s="559"/>
      <c r="D7" s="559"/>
      <c r="E7" s="559"/>
      <c r="F7" s="339"/>
    </row>
    <row r="8" spans="1:8" ht="38.25">
      <c r="A8" s="339" t="s">
        <v>1607</v>
      </c>
      <c r="B8" s="559">
        <f>3895935.53+316494.03+1432991.23+1192909.38</f>
        <v>6838330.169999999</v>
      </c>
      <c r="C8" s="559">
        <v>7711620</v>
      </c>
      <c r="D8" s="559">
        <f>B8-C8</f>
        <v>-873289.83000000101</v>
      </c>
      <c r="E8" s="560">
        <f t="shared" ref="E8:E24" si="0">D8/C8*100</f>
        <v>-11.324336909754383</v>
      </c>
      <c r="F8" s="561" t="s">
        <v>1542</v>
      </c>
      <c r="H8" s="559">
        <f>3895935.53+316494.03+1432991.23+1192909.38</f>
        <v>6838330.169999999</v>
      </c>
    </row>
    <row r="9" spans="1:8">
      <c r="A9" s="339" t="s">
        <v>54</v>
      </c>
      <c r="B9" s="559">
        <f>13128046.37+190170.4+66984.02+7372369.56</f>
        <v>20757570.349999998</v>
      </c>
      <c r="C9" s="559">
        <f>19448368+232290+22136+2476928</f>
        <v>22179722</v>
      </c>
      <c r="D9" s="559">
        <f t="shared" ref="D9:D23" si="1">B9-C9</f>
        <v>-1422151.6500000022</v>
      </c>
      <c r="E9" s="562">
        <f t="shared" si="0"/>
        <v>-6.4119453345718318</v>
      </c>
      <c r="F9" s="339"/>
      <c r="H9" s="559">
        <f>13128046.37+190170.4+66984.02+7372369.56</f>
        <v>20757570.349999998</v>
      </c>
    </row>
    <row r="10" spans="1:8">
      <c r="A10" s="339" t="s">
        <v>3161</v>
      </c>
      <c r="B10" s="559">
        <v>3910829.34</v>
      </c>
      <c r="C10" s="559">
        <v>4348479</v>
      </c>
      <c r="D10" s="559">
        <f t="shared" si="1"/>
        <v>-437649.66000000015</v>
      </c>
      <c r="E10" s="562">
        <f t="shared" si="0"/>
        <v>-10.064430804426102</v>
      </c>
      <c r="F10" s="339"/>
      <c r="H10" s="559">
        <v>3910829.34</v>
      </c>
    </row>
    <row r="11" spans="1:8">
      <c r="A11" s="339" t="s">
        <v>1611</v>
      </c>
      <c r="B11" s="559">
        <v>0</v>
      </c>
      <c r="C11" s="559">
        <v>0</v>
      </c>
      <c r="D11" s="559">
        <v>0</v>
      </c>
      <c r="E11" s="562"/>
      <c r="F11" s="339"/>
      <c r="H11" s="559">
        <v>0</v>
      </c>
    </row>
    <row r="12" spans="1:8">
      <c r="A12" s="339"/>
      <c r="B12" s="559">
        <v>0</v>
      </c>
      <c r="C12" s="559">
        <v>0</v>
      </c>
      <c r="D12" s="559">
        <f t="shared" si="1"/>
        <v>0</v>
      </c>
      <c r="E12" s="562"/>
      <c r="F12" s="339" t="s">
        <v>55</v>
      </c>
      <c r="H12" s="559">
        <v>0</v>
      </c>
    </row>
    <row r="13" spans="1:8" ht="38.25">
      <c r="A13" s="339" t="s">
        <v>1613</v>
      </c>
      <c r="B13" s="559">
        <v>191641</v>
      </c>
      <c r="C13" s="559">
        <f>30324+140990+5784</f>
        <v>177098</v>
      </c>
      <c r="D13" s="559">
        <f t="shared" si="1"/>
        <v>14543</v>
      </c>
      <c r="E13" s="562">
        <f t="shared" si="0"/>
        <v>8.2118375136929842</v>
      </c>
      <c r="F13" s="338" t="s">
        <v>1553</v>
      </c>
      <c r="H13" s="559">
        <v>425525.38</v>
      </c>
    </row>
    <row r="14" spans="1:8">
      <c r="A14" s="339" t="s">
        <v>1614</v>
      </c>
      <c r="B14" s="559">
        <v>549045</v>
      </c>
      <c r="C14" s="559">
        <v>0</v>
      </c>
      <c r="D14" s="559">
        <f t="shared" si="1"/>
        <v>549045</v>
      </c>
      <c r="E14" s="562"/>
      <c r="F14" s="338"/>
      <c r="H14" s="559">
        <v>589843.46</v>
      </c>
    </row>
    <row r="15" spans="1:8">
      <c r="A15" s="339" t="s">
        <v>1615</v>
      </c>
      <c r="B15" s="559">
        <v>1047511</v>
      </c>
      <c r="C15" s="559">
        <v>931514</v>
      </c>
      <c r="D15" s="559">
        <f t="shared" si="1"/>
        <v>115997</v>
      </c>
      <c r="E15" s="562">
        <f t="shared" si="0"/>
        <v>12.45252352621646</v>
      </c>
      <c r="F15" s="338" t="s">
        <v>1555</v>
      </c>
      <c r="H15" s="559">
        <f>1044067.71</f>
        <v>1044067.71</v>
      </c>
    </row>
    <row r="16" spans="1:8" ht="25.5">
      <c r="A16" s="339" t="s">
        <v>1616</v>
      </c>
      <c r="B16" s="559">
        <v>828950</v>
      </c>
      <c r="C16" s="559">
        <v>1800000</v>
      </c>
      <c r="D16" s="559">
        <f t="shared" si="1"/>
        <v>-971050</v>
      </c>
      <c r="E16" s="560">
        <f t="shared" si="0"/>
        <v>-53.947222222222223</v>
      </c>
      <c r="F16" s="563" t="s">
        <v>1554</v>
      </c>
      <c r="H16" s="559">
        <v>828950</v>
      </c>
    </row>
    <row r="17" spans="1:8" ht="25.5">
      <c r="A17" s="339" t="s">
        <v>56</v>
      </c>
      <c r="B17" s="559">
        <v>2200014</v>
      </c>
      <c r="C17" s="559">
        <f>30020+58806+960000</f>
        <v>1048826</v>
      </c>
      <c r="D17" s="559">
        <f t="shared" si="1"/>
        <v>1151188</v>
      </c>
      <c r="E17" s="562">
        <f t="shared" si="0"/>
        <v>109.75967414995434</v>
      </c>
      <c r="F17" s="338" t="s">
        <v>57</v>
      </c>
      <c r="H17" s="559">
        <f>2200014.21+25302.05+78426.62</f>
        <v>2303742.88</v>
      </c>
    </row>
    <row r="18" spans="1:8" ht="25.5">
      <c r="A18" s="339" t="s">
        <v>58</v>
      </c>
      <c r="B18" s="559">
        <v>985502.46</v>
      </c>
      <c r="C18" s="559">
        <v>0</v>
      </c>
      <c r="D18" s="559">
        <f t="shared" si="1"/>
        <v>985502.46</v>
      </c>
      <c r="E18" s="562"/>
      <c r="F18" s="338" t="s">
        <v>1543</v>
      </c>
      <c r="H18" s="559">
        <v>985502.46</v>
      </c>
    </row>
    <row r="19" spans="1:8">
      <c r="A19" s="339" t="s">
        <v>59</v>
      </c>
      <c r="B19" s="559">
        <f>477000+567000+10665512+500000+734000</f>
        <v>12943512</v>
      </c>
      <c r="C19" s="559">
        <v>12376000</v>
      </c>
      <c r="D19" s="559">
        <f t="shared" si="1"/>
        <v>567512</v>
      </c>
      <c r="E19" s="562">
        <f t="shared" si="0"/>
        <v>4.5855850032320618</v>
      </c>
      <c r="F19" s="338" t="s">
        <v>55</v>
      </c>
      <c r="H19" s="559">
        <f>477000+567000+10665512+500000+734000</f>
        <v>12943512</v>
      </c>
    </row>
    <row r="20" spans="1:8">
      <c r="A20" s="339" t="s">
        <v>60</v>
      </c>
      <c r="B20" s="559">
        <f>556645.17+836645+650000</f>
        <v>2043290.17</v>
      </c>
      <c r="C20" s="559">
        <v>3903290</v>
      </c>
      <c r="D20" s="559">
        <f t="shared" si="1"/>
        <v>-1859999.83</v>
      </c>
      <c r="E20" s="562">
        <f t="shared" si="0"/>
        <v>-47.652104506711005</v>
      </c>
      <c r="F20" s="338"/>
      <c r="H20" s="559">
        <f>556645.17+836645+650000</f>
        <v>2043290.17</v>
      </c>
    </row>
    <row r="21" spans="1:8" ht="25.5">
      <c r="A21" s="339" t="s">
        <v>1621</v>
      </c>
      <c r="B21" s="559">
        <v>0</v>
      </c>
      <c r="C21" s="559">
        <v>0</v>
      </c>
      <c r="D21" s="559">
        <f t="shared" si="1"/>
        <v>0</v>
      </c>
      <c r="E21" s="562"/>
      <c r="F21" s="338"/>
      <c r="H21" s="559">
        <v>0</v>
      </c>
    </row>
    <row r="22" spans="1:8" ht="51">
      <c r="A22" s="339" t="s">
        <v>1622</v>
      </c>
      <c r="B22" s="559">
        <v>21981644</v>
      </c>
      <c r="C22" s="559">
        <f>1947928+24840000</f>
        <v>26787928</v>
      </c>
      <c r="D22" s="559">
        <f t="shared" si="1"/>
        <v>-4806284</v>
      </c>
      <c r="E22" s="562">
        <f t="shared" si="0"/>
        <v>-17.941977445959985</v>
      </c>
      <c r="F22" s="338" t="s">
        <v>1544</v>
      </c>
      <c r="H22" s="559">
        <v>26176572</v>
      </c>
    </row>
    <row r="23" spans="1:8" ht="25.5">
      <c r="A23" s="339" t="s">
        <v>2245</v>
      </c>
      <c r="B23" s="559">
        <v>0</v>
      </c>
      <c r="C23" s="559">
        <v>0</v>
      </c>
      <c r="D23" s="559">
        <f t="shared" si="1"/>
        <v>0</v>
      </c>
      <c r="E23" s="562"/>
      <c r="F23" s="338"/>
      <c r="H23" s="559">
        <v>0</v>
      </c>
    </row>
    <row r="24" spans="1:8">
      <c r="A24" s="557" t="s">
        <v>1624</v>
      </c>
      <c r="B24" s="564">
        <f>SUM(B8:B23)</f>
        <v>74277839.49000001</v>
      </c>
      <c r="C24" s="564">
        <f>SUM(C8:C23)</f>
        <v>81264477</v>
      </c>
      <c r="D24" s="564">
        <f>SUM(D8:D23)</f>
        <v>-6986637.5100000035</v>
      </c>
      <c r="E24" s="565">
        <f t="shared" si="0"/>
        <v>-8.5974066011647423</v>
      </c>
      <c r="F24" s="566"/>
      <c r="H24" s="564">
        <f>SUM(H8:H23)</f>
        <v>78847735.920000002</v>
      </c>
    </row>
    <row r="25" spans="1:8">
      <c r="A25" s="205"/>
      <c r="B25" s="357"/>
      <c r="C25" s="357"/>
      <c r="D25" s="357"/>
      <c r="E25" s="357"/>
      <c r="F25" s="567"/>
      <c r="G25" s="305"/>
    </row>
    <row r="26" spans="1:8">
      <c r="A26" s="1452" t="s">
        <v>3452</v>
      </c>
      <c r="B26" s="1452"/>
      <c r="C26" s="1452"/>
      <c r="D26" s="1452"/>
      <c r="E26" s="1452"/>
      <c r="F26" s="1452"/>
    </row>
    <row r="27" spans="1:8">
      <c r="A27" s="1452" t="s">
        <v>1540</v>
      </c>
      <c r="B27" s="1452"/>
      <c r="C27" s="1452"/>
      <c r="D27" s="1452"/>
      <c r="E27" s="1452"/>
      <c r="F27" s="1452"/>
    </row>
    <row r="28" spans="1:8">
      <c r="A28" s="1452" t="s">
        <v>3093</v>
      </c>
      <c r="B28" s="1452"/>
      <c r="C28" s="1452"/>
      <c r="D28" s="1452"/>
      <c r="E28" s="1452"/>
      <c r="F28" s="1452"/>
    </row>
    <row r="29" spans="1:8">
      <c r="A29" s="1454"/>
      <c r="B29" s="1454"/>
      <c r="C29" s="409"/>
      <c r="D29" s="409"/>
      <c r="E29" s="409"/>
      <c r="F29" s="409"/>
      <c r="G29" s="34"/>
      <c r="H29" s="34"/>
    </row>
    <row r="30" spans="1:8" ht="25.5">
      <c r="A30" s="1450"/>
      <c r="B30" s="568" t="s">
        <v>3094</v>
      </c>
      <c r="C30" s="568" t="s">
        <v>3095</v>
      </c>
      <c r="D30" s="568" t="s">
        <v>3098</v>
      </c>
      <c r="E30" s="568" t="s">
        <v>3099</v>
      </c>
      <c r="F30" s="555" t="s">
        <v>2246</v>
      </c>
    </row>
    <row r="31" spans="1:8">
      <c r="A31" s="1451"/>
      <c r="B31" s="569" t="s">
        <v>3386</v>
      </c>
      <c r="C31" s="569" t="s">
        <v>3386</v>
      </c>
      <c r="D31" s="569" t="s">
        <v>3386</v>
      </c>
      <c r="E31" s="569" t="s">
        <v>3228</v>
      </c>
      <c r="F31" s="557"/>
    </row>
    <row r="32" spans="1:8">
      <c r="A32" s="341" t="s">
        <v>1625</v>
      </c>
      <c r="B32" s="570"/>
      <c r="C32" s="570"/>
      <c r="D32" s="570"/>
      <c r="E32" s="571"/>
      <c r="F32" s="341"/>
    </row>
    <row r="33" spans="1:9" ht="38.25">
      <c r="A33" s="339" t="s">
        <v>1112</v>
      </c>
      <c r="B33" s="572">
        <v>20331606</v>
      </c>
      <c r="C33" s="572">
        <v>22984523</v>
      </c>
      <c r="D33" s="559">
        <f t="shared" ref="D33:D46" si="2">B33-C33</f>
        <v>-2652917</v>
      </c>
      <c r="E33" s="560">
        <f t="shared" ref="E33:E48" si="3">D33/C33*100</f>
        <v>-11.542188628408777</v>
      </c>
      <c r="F33" s="573" t="s">
        <v>1545</v>
      </c>
      <c r="H33" s="572">
        <v>19895432.879999999</v>
      </c>
    </row>
    <row r="34" spans="1:9">
      <c r="A34" s="339" t="s">
        <v>1626</v>
      </c>
      <c r="B34" s="572">
        <f>'Notes 18 - 35'!D248</f>
        <v>2289128.8299999996</v>
      </c>
      <c r="C34" s="572">
        <v>2275423</v>
      </c>
      <c r="D34" s="559">
        <f t="shared" si="2"/>
        <v>13705.829999999609</v>
      </c>
      <c r="E34" s="562">
        <f t="shared" si="3"/>
        <v>0.60234207002388607</v>
      </c>
      <c r="F34" s="339"/>
      <c r="H34" s="572">
        <v>2275301.6800000002</v>
      </c>
    </row>
    <row r="35" spans="1:9">
      <c r="A35" s="339" t="s">
        <v>1627</v>
      </c>
      <c r="B35" s="572">
        <v>0</v>
      </c>
      <c r="C35" s="572">
        <v>500000</v>
      </c>
      <c r="D35" s="559">
        <f t="shared" si="2"/>
        <v>-500000</v>
      </c>
      <c r="E35" s="562">
        <f t="shared" si="3"/>
        <v>-100</v>
      </c>
      <c r="F35" s="339"/>
      <c r="H35" s="572">
        <v>0</v>
      </c>
    </row>
    <row r="36" spans="1:9">
      <c r="A36" s="339" t="s">
        <v>1628</v>
      </c>
      <c r="B36" s="572">
        <v>321736</v>
      </c>
      <c r="C36" s="572">
        <v>15000</v>
      </c>
      <c r="D36" s="559">
        <f t="shared" si="2"/>
        <v>306736</v>
      </c>
      <c r="E36" s="562">
        <f t="shared" si="3"/>
        <v>2044.9066666666668</v>
      </c>
      <c r="F36" s="339"/>
      <c r="H36" s="572">
        <v>6882</v>
      </c>
    </row>
    <row r="37" spans="1:9" ht="38.25">
      <c r="A37" s="339" t="s">
        <v>1629</v>
      </c>
      <c r="B37" s="572">
        <v>3492914</v>
      </c>
      <c r="C37" s="572">
        <v>503050</v>
      </c>
      <c r="D37" s="559">
        <f t="shared" si="2"/>
        <v>2989864</v>
      </c>
      <c r="E37" s="560">
        <f>D37/C37*100</f>
        <v>594.3472815823477</v>
      </c>
      <c r="F37" s="574" t="s">
        <v>1546</v>
      </c>
      <c r="H37" s="572">
        <v>3528914</v>
      </c>
      <c r="I37" s="199" t="s">
        <v>1501</v>
      </c>
    </row>
    <row r="38" spans="1:9">
      <c r="A38" s="339" t="s">
        <v>2247</v>
      </c>
      <c r="B38" s="572">
        <v>2806528.21</v>
      </c>
      <c r="C38" s="572">
        <v>2853296</v>
      </c>
      <c r="D38" s="559">
        <f t="shared" si="2"/>
        <v>-46767.790000000037</v>
      </c>
      <c r="E38" s="562">
        <f t="shared" si="3"/>
        <v>-1.6390795066477517</v>
      </c>
      <c r="F38" s="339" t="s">
        <v>55</v>
      </c>
      <c r="H38" s="572">
        <v>2806528.21</v>
      </c>
    </row>
    <row r="39" spans="1:9" ht="25.5">
      <c r="A39" s="339" t="s">
        <v>2248</v>
      </c>
      <c r="B39" s="572">
        <v>1186125.32</v>
      </c>
      <c r="C39" s="572">
        <v>1724275</v>
      </c>
      <c r="D39" s="559">
        <f t="shared" si="2"/>
        <v>-538149.67999999993</v>
      </c>
      <c r="E39" s="562">
        <f t="shared" si="3"/>
        <v>-31.210200229081785</v>
      </c>
      <c r="F39" s="339" t="s">
        <v>1547</v>
      </c>
      <c r="H39" s="572">
        <v>1186125.32</v>
      </c>
    </row>
    <row r="40" spans="1:9">
      <c r="A40" s="339" t="s">
        <v>2249</v>
      </c>
      <c r="B40" s="572">
        <v>12752281.619999999</v>
      </c>
      <c r="C40" s="572">
        <v>13148769</v>
      </c>
      <c r="D40" s="559">
        <f t="shared" si="2"/>
        <v>-396487.38000000082</v>
      </c>
      <c r="E40" s="562">
        <f t="shared" si="3"/>
        <v>-3.0153954335953488</v>
      </c>
      <c r="F40" s="339" t="s">
        <v>55</v>
      </c>
      <c r="H40" s="572">
        <v>12752281.619999999</v>
      </c>
    </row>
    <row r="41" spans="1:9">
      <c r="A41" s="339" t="s">
        <v>1612</v>
      </c>
      <c r="B41" s="572">
        <v>0</v>
      </c>
      <c r="C41" s="572">
        <v>0</v>
      </c>
      <c r="D41" s="559">
        <f t="shared" si="2"/>
        <v>0</v>
      </c>
      <c r="E41" s="562"/>
      <c r="F41" s="339"/>
      <c r="H41" s="572">
        <v>0</v>
      </c>
    </row>
    <row r="42" spans="1:9">
      <c r="A42" s="339" t="s">
        <v>1632</v>
      </c>
      <c r="B42" s="572">
        <v>2573241.02</v>
      </c>
      <c r="C42" s="572">
        <v>2561655</v>
      </c>
      <c r="D42" s="559">
        <f t="shared" si="2"/>
        <v>11586.020000000019</v>
      </c>
      <c r="E42" s="562">
        <f t="shared" si="3"/>
        <v>0.45228651008820547</v>
      </c>
      <c r="F42" s="339"/>
      <c r="H42" s="572">
        <v>2573241.02</v>
      </c>
    </row>
    <row r="43" spans="1:9">
      <c r="A43" s="339" t="s">
        <v>2250</v>
      </c>
      <c r="B43" s="572">
        <v>1753940.37</v>
      </c>
      <c r="C43" s="572">
        <v>1767600</v>
      </c>
      <c r="D43" s="559">
        <f t="shared" si="2"/>
        <v>-13659.629999999888</v>
      </c>
      <c r="E43" s="562">
        <f t="shared" si="3"/>
        <v>-0.77277834351662644</v>
      </c>
      <c r="F43" s="339"/>
      <c r="H43" s="572">
        <v>1753940.37</v>
      </c>
    </row>
    <row r="44" spans="1:9" ht="38.25">
      <c r="A44" s="339" t="s">
        <v>2251</v>
      </c>
      <c r="B44" s="682">
        <f>15568926.54-75369</f>
        <v>15493557.539999999</v>
      </c>
      <c r="C44" s="572">
        <f>16413686+1792042</f>
        <v>18205728</v>
      </c>
      <c r="D44" s="559">
        <f t="shared" si="2"/>
        <v>-2712170.4600000009</v>
      </c>
      <c r="E44" s="562">
        <f t="shared" si="3"/>
        <v>-14.897346922902511</v>
      </c>
      <c r="F44" s="574" t="s">
        <v>1548</v>
      </c>
      <c r="H44" s="572">
        <v>15568926.539999999</v>
      </c>
    </row>
    <row r="45" spans="1:9">
      <c r="A45" s="339" t="s">
        <v>2252</v>
      </c>
      <c r="B45" s="572">
        <v>0</v>
      </c>
      <c r="C45" s="572">
        <v>0</v>
      </c>
      <c r="D45" s="559">
        <f t="shared" si="2"/>
        <v>0</v>
      </c>
      <c r="E45" s="562">
        <v>0</v>
      </c>
      <c r="F45" s="339"/>
      <c r="H45" s="572">
        <v>0</v>
      </c>
    </row>
    <row r="46" spans="1:9" ht="38.25">
      <c r="A46" s="339" t="s">
        <v>2253</v>
      </c>
      <c r="B46" s="572">
        <v>515623.86</v>
      </c>
      <c r="C46" s="572">
        <v>5765868</v>
      </c>
      <c r="D46" s="559">
        <f t="shared" si="2"/>
        <v>-5250244.1399999997</v>
      </c>
      <c r="E46" s="562">
        <f t="shared" si="3"/>
        <v>-91.05730724324593</v>
      </c>
      <c r="F46" s="339" t="s">
        <v>1549</v>
      </c>
      <c r="H46" s="572">
        <v>515623.86</v>
      </c>
    </row>
    <row r="47" spans="1:9">
      <c r="A47" s="341" t="s">
        <v>3555</v>
      </c>
      <c r="B47" s="564">
        <f>SUM(B33:B46)</f>
        <v>63516682.769999996</v>
      </c>
      <c r="C47" s="564">
        <f>SUM(C33:C46)</f>
        <v>72305187</v>
      </c>
      <c r="D47" s="564">
        <f>SUM(D33:D46)</f>
        <v>-8788504.2300000004</v>
      </c>
      <c r="E47" s="565">
        <f t="shared" si="3"/>
        <v>-12.154735496362107</v>
      </c>
      <c r="F47" s="341"/>
      <c r="H47" s="564">
        <f>SUM(H33:H46)</f>
        <v>62863197.5</v>
      </c>
    </row>
    <row r="48" spans="1:9">
      <c r="A48" s="557" t="s">
        <v>3556</v>
      </c>
      <c r="B48" s="564">
        <f>B24-B47</f>
        <v>10761156.720000014</v>
      </c>
      <c r="C48" s="1307">
        <f>C24-C47</f>
        <v>8959290</v>
      </c>
      <c r="D48" s="564">
        <f>D24-D47</f>
        <v>1801866.7199999969</v>
      </c>
      <c r="E48" s="565">
        <f t="shared" si="3"/>
        <v>20.111713316568576</v>
      </c>
      <c r="F48" s="557"/>
      <c r="H48" s="564">
        <f>H24-H47</f>
        <v>15984538.420000002</v>
      </c>
    </row>
    <row r="49" spans="2:8">
      <c r="H49" s="31"/>
    </row>
    <row r="50" spans="2:8">
      <c r="B50" s="31">
        <f>'Statement of Financial Performa'!F49</f>
        <v>10925289.24000001</v>
      </c>
      <c r="H50" s="31">
        <f>B50</f>
        <v>10925289.24000001</v>
      </c>
    </row>
    <row r="51" spans="2:8">
      <c r="B51" s="31">
        <f>63667420-63516683</f>
        <v>150737</v>
      </c>
      <c r="H51" s="31"/>
    </row>
    <row r="52" spans="2:8">
      <c r="B52" s="31">
        <f>SUM(B48-B50)</f>
        <v>-164132.51999999583</v>
      </c>
      <c r="H52" s="31">
        <f>SUM(H48-H50)</f>
        <v>5059249.1799999923</v>
      </c>
    </row>
  </sheetData>
  <mergeCells count="9">
    <mergeCell ref="A30:A31"/>
    <mergeCell ref="A26:F26"/>
    <mergeCell ref="A27:F27"/>
    <mergeCell ref="A1:F1"/>
    <mergeCell ref="A2:F2"/>
    <mergeCell ref="A3:F3"/>
    <mergeCell ref="A5:A6"/>
    <mergeCell ref="A28:F28"/>
    <mergeCell ref="A29:B29"/>
  </mergeCells>
  <phoneticPr fontId="0" type="noConversion"/>
  <printOptions horizontalCentered="1"/>
  <pageMargins left="0.6692913385826772" right="0.39370078740157483" top="0.98425196850393704" bottom="0.98425196850393704" header="0.51181102362204722" footer="0.51181102362204722"/>
  <pageSetup scale="66" orientation="portrait" r:id="rId1"/>
  <headerFooter>
    <oddHeader>&amp;C FINANCIAL STATEMENTS: MUSINA LOCAL MUNICIPALITY</oddHeader>
    <oddFooter>&amp;RPage &amp;P</oddFooter>
  </headerFooter>
  <rowBreaks count="1" manualBreakCount="1">
    <brk id="25" max="16383" man="1"/>
  </rowBreaks>
</worksheet>
</file>

<file path=xl/worksheets/sheet26.xml><?xml version="1.0" encoding="utf-8"?>
<worksheet xmlns="http://schemas.openxmlformats.org/spreadsheetml/2006/main" xmlns:r="http://schemas.openxmlformats.org/officeDocument/2006/relationships">
  <sheetPr>
    <pageSetUpPr fitToPage="1"/>
  </sheetPr>
  <dimension ref="A1:H89"/>
  <sheetViews>
    <sheetView view="pageBreakPreview" zoomScaleSheetLayoutView="100" workbookViewId="0">
      <selection activeCell="E27" sqref="E27"/>
    </sheetView>
  </sheetViews>
  <sheetFormatPr defaultRowHeight="12.75"/>
  <cols>
    <col min="1" max="1" width="32.28515625" style="22" bestFit="1" customWidth="1"/>
    <col min="2" max="2" width="14.28515625" style="22" bestFit="1" customWidth="1"/>
    <col min="3" max="3" width="16.28515625" style="22" bestFit="1" customWidth="1"/>
    <col min="4" max="4" width="14.28515625" style="22" bestFit="1" customWidth="1"/>
    <col min="5" max="5" width="15.140625" style="22" bestFit="1" customWidth="1"/>
    <col min="6" max="6" width="20.140625" style="22" bestFit="1" customWidth="1"/>
    <col min="7" max="7" width="12" style="22" bestFit="1" customWidth="1"/>
    <col min="8" max="8" width="41.85546875" style="22" customWidth="1"/>
    <col min="9" max="16384" width="9.140625" style="22"/>
  </cols>
  <sheetData>
    <row r="1" spans="1:8">
      <c r="A1" s="1452" t="s">
        <v>3453</v>
      </c>
      <c r="B1" s="1452"/>
      <c r="C1" s="1452"/>
      <c r="D1" s="1452"/>
      <c r="E1" s="1452"/>
      <c r="F1" s="1452"/>
      <c r="G1" s="1452"/>
      <c r="H1" s="1452"/>
    </row>
    <row r="2" spans="1:8" ht="12.75" customHeight="1">
      <c r="A2" s="1452" t="s">
        <v>2255</v>
      </c>
      <c r="B2" s="1452"/>
      <c r="C2" s="1452"/>
      <c r="D2" s="1452"/>
      <c r="E2" s="1452"/>
      <c r="F2" s="1452"/>
      <c r="G2" s="1452"/>
      <c r="H2" s="1452"/>
    </row>
    <row r="3" spans="1:8" ht="12.75" customHeight="1">
      <c r="A3" s="1452" t="s">
        <v>2256</v>
      </c>
      <c r="B3" s="1452"/>
      <c r="C3" s="1452"/>
      <c r="D3" s="1452"/>
      <c r="E3" s="1452"/>
      <c r="F3" s="1452"/>
      <c r="G3" s="1452"/>
      <c r="H3" s="1452"/>
    </row>
    <row r="4" spans="1:8">
      <c r="A4" s="1452" t="s">
        <v>3093</v>
      </c>
      <c r="B4" s="1452"/>
      <c r="C4" s="1452"/>
      <c r="D4" s="1452"/>
      <c r="E4" s="1452"/>
      <c r="F4" s="1452"/>
      <c r="G4" s="1452"/>
      <c r="H4" s="1452"/>
    </row>
    <row r="5" spans="1:8">
      <c r="A5" s="409"/>
      <c r="B5" s="409"/>
      <c r="C5" s="409"/>
      <c r="D5" s="409"/>
      <c r="E5" s="409"/>
      <c r="F5" s="409"/>
      <c r="G5" s="409"/>
      <c r="H5" s="409"/>
    </row>
    <row r="6" spans="1:8">
      <c r="A6" s="1450"/>
      <c r="B6" s="568">
        <v>2008</v>
      </c>
      <c r="C6" s="568">
        <v>2008</v>
      </c>
      <c r="D6" s="568">
        <v>2008</v>
      </c>
      <c r="E6" s="568">
        <v>2008</v>
      </c>
      <c r="F6" s="568">
        <v>2008</v>
      </c>
      <c r="G6" s="568">
        <v>2008</v>
      </c>
      <c r="H6" s="568"/>
    </row>
    <row r="7" spans="1:8" s="12" customFormat="1" ht="25.5">
      <c r="A7" s="1460"/>
      <c r="B7" s="374" t="s">
        <v>2257</v>
      </c>
      <c r="C7" s="374" t="s">
        <v>1421</v>
      </c>
      <c r="D7" s="374" t="s">
        <v>2258</v>
      </c>
      <c r="E7" s="374" t="s">
        <v>1017</v>
      </c>
      <c r="F7" s="374" t="s">
        <v>2259</v>
      </c>
      <c r="G7" s="374" t="s">
        <v>2260</v>
      </c>
      <c r="H7" s="374" t="s">
        <v>2261</v>
      </c>
    </row>
    <row r="8" spans="1:8">
      <c r="A8" s="1451"/>
      <c r="B8" s="569" t="s">
        <v>3386</v>
      </c>
      <c r="C8" s="569" t="s">
        <v>3386</v>
      </c>
      <c r="D8" s="569" t="s">
        <v>3386</v>
      </c>
      <c r="E8" s="569" t="s">
        <v>3386</v>
      </c>
      <c r="F8" s="569" t="s">
        <v>3386</v>
      </c>
      <c r="G8" s="569" t="s">
        <v>3228</v>
      </c>
      <c r="H8" s="353"/>
    </row>
    <row r="9" spans="1:8">
      <c r="A9" s="341" t="s">
        <v>2262</v>
      </c>
      <c r="B9" s="575">
        <f>B10</f>
        <v>0</v>
      </c>
      <c r="C9" s="575">
        <f>C10</f>
        <v>0</v>
      </c>
      <c r="D9" s="575">
        <f>D10</f>
        <v>0</v>
      </c>
      <c r="E9" s="575">
        <f>E10</f>
        <v>0</v>
      </c>
      <c r="F9" s="575">
        <f>F10</f>
        <v>0</v>
      </c>
      <c r="G9" s="571"/>
      <c r="H9" s="339"/>
    </row>
    <row r="10" spans="1:8">
      <c r="A10" s="339" t="s">
        <v>1780</v>
      </c>
      <c r="B10" s="559">
        <v>0</v>
      </c>
      <c r="C10" s="559">
        <v>0</v>
      </c>
      <c r="D10" s="559">
        <v>0</v>
      </c>
      <c r="E10" s="559">
        <v>0</v>
      </c>
      <c r="F10" s="559">
        <f>D10-E10</f>
        <v>0</v>
      </c>
      <c r="G10" s="562"/>
      <c r="H10" s="339"/>
    </row>
    <row r="11" spans="1:8">
      <c r="A11" s="339"/>
      <c r="B11" s="559"/>
      <c r="C11" s="559"/>
      <c r="D11" s="559"/>
      <c r="E11" s="559"/>
      <c r="F11" s="559"/>
      <c r="G11" s="562"/>
      <c r="H11" s="339" t="s">
        <v>55</v>
      </c>
    </row>
    <row r="12" spans="1:8">
      <c r="A12" s="341" t="s">
        <v>1428</v>
      </c>
      <c r="B12" s="575">
        <f>SUM(B13:B13)</f>
        <v>1867333.68</v>
      </c>
      <c r="C12" s="575">
        <f>SUM(C13:C13)</f>
        <v>588666</v>
      </c>
      <c r="D12" s="575">
        <f>C12+B12</f>
        <v>2455999.6799999997</v>
      </c>
      <c r="E12" s="575">
        <f>SUM(E13:E13)</f>
        <v>2456000</v>
      </c>
      <c r="F12" s="575">
        <f>SUM(F13:F13)</f>
        <v>-0.32000000029802322</v>
      </c>
      <c r="G12" s="571">
        <f t="shared" ref="G12:G21" si="0">F12/E12*100</f>
        <v>-1.3029315973046547E-5</v>
      </c>
      <c r="H12" s="339" t="s">
        <v>55</v>
      </c>
    </row>
    <row r="13" spans="1:8">
      <c r="A13" s="339" t="s">
        <v>1784</v>
      </c>
      <c r="B13" s="559">
        <v>1867333.68</v>
      </c>
      <c r="C13" s="559">
        <v>588666</v>
      </c>
      <c r="D13" s="575">
        <f t="shared" ref="D13:D19" si="1">C13+B13</f>
        <v>2455999.6799999997</v>
      </c>
      <c r="E13" s="559">
        <v>2456000</v>
      </c>
      <c r="F13" s="559">
        <f>D13-E13</f>
        <v>-0.32000000029802322</v>
      </c>
      <c r="G13" s="562">
        <f t="shared" si="0"/>
        <v>-1.3029315973046547E-5</v>
      </c>
      <c r="H13" s="339"/>
    </row>
    <row r="14" spans="1:8">
      <c r="A14" s="339"/>
      <c r="B14" s="559"/>
      <c r="C14" s="559"/>
      <c r="D14" s="575">
        <f t="shared" si="1"/>
        <v>0</v>
      </c>
      <c r="E14" s="559"/>
      <c r="F14" s="559"/>
      <c r="G14" s="562"/>
      <c r="H14" s="339" t="s">
        <v>55</v>
      </c>
    </row>
    <row r="15" spans="1:8">
      <c r="A15" s="341" t="s">
        <v>1752</v>
      </c>
      <c r="B15" s="575">
        <f>B16</f>
        <v>0</v>
      </c>
      <c r="C15" s="575">
        <f>C16</f>
        <v>0</v>
      </c>
      <c r="D15" s="575">
        <f t="shared" si="1"/>
        <v>0</v>
      </c>
      <c r="E15" s="575">
        <f>E16</f>
        <v>0</v>
      </c>
      <c r="F15" s="575">
        <f>F16</f>
        <v>0</v>
      </c>
      <c r="G15" s="571"/>
      <c r="H15" s="339" t="s">
        <v>55</v>
      </c>
    </row>
    <row r="16" spans="1:8">
      <c r="A16" s="339" t="s">
        <v>1786</v>
      </c>
      <c r="B16" s="559">
        <v>0</v>
      </c>
      <c r="C16" s="559">
        <v>0</v>
      </c>
      <c r="D16" s="575">
        <f t="shared" si="1"/>
        <v>0</v>
      </c>
      <c r="E16" s="559">
        <v>0</v>
      </c>
      <c r="F16" s="559">
        <f>D16-E16</f>
        <v>0</v>
      </c>
      <c r="G16" s="562"/>
      <c r="H16" s="339"/>
    </row>
    <row r="17" spans="1:8">
      <c r="A17" s="339"/>
      <c r="B17" s="559"/>
      <c r="C17" s="559"/>
      <c r="D17" s="575">
        <f t="shared" si="1"/>
        <v>0</v>
      </c>
      <c r="E17" s="559"/>
      <c r="F17" s="559"/>
      <c r="G17" s="562"/>
      <c r="H17" s="339" t="s">
        <v>55</v>
      </c>
    </row>
    <row r="18" spans="1:8">
      <c r="A18" s="341" t="s">
        <v>1754</v>
      </c>
      <c r="B18" s="575">
        <f>SUM(B19:B19)</f>
        <v>1114253.1000000001</v>
      </c>
      <c r="C18" s="575">
        <f>SUM(C19:C19)</f>
        <v>537577</v>
      </c>
      <c r="D18" s="575">
        <f t="shared" si="1"/>
        <v>1651830.1</v>
      </c>
      <c r="E18" s="575">
        <f>SUM(E19:E19)</f>
        <v>2886645</v>
      </c>
      <c r="F18" s="575">
        <f>SUM(F19:F19)</f>
        <v>-1234814.8999999999</v>
      </c>
      <c r="G18" s="571">
        <f t="shared" si="0"/>
        <v>-42.776818763651228</v>
      </c>
      <c r="H18" s="339" t="s">
        <v>55</v>
      </c>
    </row>
    <row r="19" spans="1:8" ht="38.25">
      <c r="A19" s="339" t="s">
        <v>2332</v>
      </c>
      <c r="B19" s="559">
        <f>815185.1+299068</f>
        <v>1114253.1000000001</v>
      </c>
      <c r="C19" s="559">
        <v>537577</v>
      </c>
      <c r="D19" s="575">
        <f t="shared" si="1"/>
        <v>1651830.1</v>
      </c>
      <c r="E19" s="559">
        <f>2050000+836645</f>
        <v>2886645</v>
      </c>
      <c r="F19" s="559">
        <f>D19-E19</f>
        <v>-1234814.8999999999</v>
      </c>
      <c r="G19" s="562">
        <f t="shared" si="0"/>
        <v>-42.776818763651228</v>
      </c>
      <c r="H19" s="339" t="s">
        <v>1550</v>
      </c>
    </row>
    <row r="20" spans="1:8">
      <c r="A20" s="341" t="s">
        <v>1759</v>
      </c>
      <c r="B20" s="575">
        <f>SUM(B21:B21)</f>
        <v>605046.04</v>
      </c>
      <c r="C20" s="575">
        <f>SUM(C21:C21)</f>
        <v>0</v>
      </c>
      <c r="D20" s="575">
        <f>SUM(D21:D21)</f>
        <v>605046.04</v>
      </c>
      <c r="E20" s="575">
        <f>SUM(E21:E21)</f>
        <v>1716645</v>
      </c>
      <c r="F20" s="575">
        <f>SUM(F21:F21)</f>
        <v>-1111598.96</v>
      </c>
      <c r="G20" s="571">
        <f t="shared" si="0"/>
        <v>-64.754154761176594</v>
      </c>
      <c r="H20" s="576"/>
    </row>
    <row r="21" spans="1:8">
      <c r="A21" s="339" t="s">
        <v>954</v>
      </c>
      <c r="B21" s="559">
        <v>605046.04</v>
      </c>
      <c r="C21" s="559">
        <v>0</v>
      </c>
      <c r="D21" s="559">
        <f>C21+B21</f>
        <v>605046.04</v>
      </c>
      <c r="E21" s="559">
        <v>1716645</v>
      </c>
      <c r="F21" s="559">
        <f>D21-E21</f>
        <v>-1111598.96</v>
      </c>
      <c r="G21" s="562">
        <f t="shared" si="0"/>
        <v>-64.754154761176594</v>
      </c>
      <c r="H21" s="339"/>
    </row>
    <row r="22" spans="1:8">
      <c r="A22" s="339"/>
      <c r="B22" s="559"/>
      <c r="C22" s="559"/>
      <c r="D22" s="559"/>
      <c r="E22" s="559"/>
      <c r="F22" s="559"/>
      <c r="G22" s="562"/>
      <c r="H22" s="339" t="s">
        <v>55</v>
      </c>
    </row>
    <row r="23" spans="1:8">
      <c r="A23" s="341" t="s">
        <v>1774</v>
      </c>
      <c r="B23" s="575">
        <f>B24+B25</f>
        <v>0</v>
      </c>
      <c r="C23" s="575">
        <f>C24+C25</f>
        <v>0</v>
      </c>
      <c r="D23" s="575">
        <f>D24+D25</f>
        <v>0</v>
      </c>
      <c r="E23" s="575">
        <f>E24+E25</f>
        <v>1900000</v>
      </c>
      <c r="F23" s="575">
        <f>D23-E23</f>
        <v>-1900000</v>
      </c>
      <c r="G23" s="571">
        <f>F23/E23*100</f>
        <v>-100</v>
      </c>
      <c r="H23" s="341"/>
    </row>
    <row r="24" spans="1:8" ht="25.5">
      <c r="A24" s="339" t="s">
        <v>3225</v>
      </c>
      <c r="B24" s="559">
        <v>0</v>
      </c>
      <c r="C24" s="559">
        <v>0</v>
      </c>
      <c r="D24" s="559">
        <v>0</v>
      </c>
      <c r="E24" s="559">
        <v>600000</v>
      </c>
      <c r="F24" s="559">
        <f>D24-E24</f>
        <v>-600000</v>
      </c>
      <c r="G24" s="562">
        <f>F24/E24*100</f>
        <v>-100</v>
      </c>
      <c r="H24" s="339" t="s">
        <v>1551</v>
      </c>
    </row>
    <row r="25" spans="1:8" ht="25.5">
      <c r="A25" s="339" t="s">
        <v>3226</v>
      </c>
      <c r="B25" s="559">
        <v>0</v>
      </c>
      <c r="C25" s="559">
        <v>0</v>
      </c>
      <c r="D25" s="559">
        <v>0</v>
      </c>
      <c r="E25" s="559">
        <v>1300000</v>
      </c>
      <c r="F25" s="559">
        <f>D25-E25</f>
        <v>-1300000</v>
      </c>
      <c r="G25" s="562">
        <f>F25/E25*100</f>
        <v>-100</v>
      </c>
      <c r="H25" s="339" t="s">
        <v>1552</v>
      </c>
    </row>
    <row r="26" spans="1:8" ht="13.5" thickBot="1">
      <c r="A26" s="339"/>
      <c r="B26" s="577"/>
      <c r="C26" s="577"/>
      <c r="D26" s="577"/>
      <c r="E26" s="577"/>
      <c r="F26" s="577"/>
      <c r="G26" s="577"/>
      <c r="H26" s="339"/>
    </row>
    <row r="27" spans="1:8">
      <c r="A27" s="341" t="s">
        <v>3011</v>
      </c>
      <c r="B27" s="575">
        <f>B23+B20+B18+B15+B12+B9</f>
        <v>3586632.8200000003</v>
      </c>
      <c r="C27" s="575">
        <f>C23+C20+C18+C15+C12+C9</f>
        <v>1126243</v>
      </c>
      <c r="D27" s="575">
        <f>D23+D20+D18+D15+D12+D9</f>
        <v>4712875.82</v>
      </c>
      <c r="E27" s="1308">
        <f>E23+E20+E18+E15+E12+E9</f>
        <v>8959290</v>
      </c>
      <c r="F27" s="575">
        <f>F23+F20+F18+F15+F12+F9</f>
        <v>-4246414.18</v>
      </c>
      <c r="G27" s="571">
        <f>F27/E27*100</f>
        <v>-47.396771172715688</v>
      </c>
      <c r="H27" s="576"/>
    </row>
    <row r="28" spans="1:8">
      <c r="A28" s="353"/>
      <c r="B28" s="578"/>
      <c r="C28" s="578"/>
      <c r="D28" s="578"/>
      <c r="E28" s="578"/>
      <c r="F28" s="578"/>
      <c r="G28" s="578"/>
      <c r="H28" s="579"/>
    </row>
    <row r="29" spans="1:8">
      <c r="A29" s="64" t="s">
        <v>1788</v>
      </c>
      <c r="B29" s="159">
        <v>0</v>
      </c>
      <c r="C29" s="159">
        <v>0</v>
      </c>
      <c r="D29" s="159">
        <f>SUM(B29:C29)</f>
        <v>0</v>
      </c>
      <c r="E29" s="159">
        <v>0</v>
      </c>
      <c r="F29" s="159">
        <f>D29-E29</f>
        <v>0</v>
      </c>
      <c r="G29" s="161">
        <v>0</v>
      </c>
      <c r="H29" s="64"/>
    </row>
    <row r="30" spans="1:8">
      <c r="A30" s="164"/>
      <c r="B30" s="160"/>
      <c r="C30" s="160"/>
      <c r="D30" s="160"/>
      <c r="E30" s="160"/>
      <c r="F30" s="160"/>
      <c r="G30" s="166"/>
      <c r="H30" s="167"/>
    </row>
    <row r="32" spans="1:8">
      <c r="A32" s="1458" t="s">
        <v>2254</v>
      </c>
      <c r="B32" s="1458"/>
      <c r="C32" s="1458"/>
      <c r="D32" s="1458"/>
      <c r="E32" s="1458"/>
      <c r="F32" s="1458"/>
      <c r="G32" s="1458"/>
      <c r="H32" s="1458"/>
    </row>
    <row r="33" spans="1:8">
      <c r="A33" s="1458" t="s">
        <v>2255</v>
      </c>
      <c r="B33" s="1458"/>
      <c r="C33" s="1458"/>
      <c r="D33" s="1458"/>
      <c r="E33" s="1458"/>
      <c r="F33" s="1458"/>
      <c r="G33" s="1458"/>
      <c r="H33" s="1458"/>
    </row>
    <row r="34" spans="1:8">
      <c r="A34" s="1458" t="s">
        <v>2256</v>
      </c>
      <c r="B34" s="1458"/>
      <c r="C34" s="1458"/>
      <c r="D34" s="1458"/>
      <c r="E34" s="1458"/>
      <c r="F34" s="1458"/>
      <c r="G34" s="1458"/>
      <c r="H34" s="1458"/>
    </row>
    <row r="35" spans="1:8">
      <c r="A35" s="1458" t="s">
        <v>3093</v>
      </c>
      <c r="B35" s="1458"/>
      <c r="C35" s="1458"/>
      <c r="D35" s="1458"/>
      <c r="E35" s="1458"/>
      <c r="F35" s="1458"/>
      <c r="G35" s="1458"/>
      <c r="H35" s="1458"/>
    </row>
    <row r="37" spans="1:8">
      <c r="A37" s="1455"/>
      <c r="B37" s="394">
        <v>2008</v>
      </c>
      <c r="C37" s="394">
        <v>2008</v>
      </c>
      <c r="D37" s="394">
        <v>2008</v>
      </c>
      <c r="E37" s="394">
        <v>2008</v>
      </c>
      <c r="F37" s="394">
        <v>2008</v>
      </c>
      <c r="G37" s="394">
        <v>2008</v>
      </c>
      <c r="H37" s="394"/>
    </row>
    <row r="38" spans="1:8" s="12" customFormat="1" ht="25.5">
      <c r="A38" s="1456"/>
      <c r="B38" s="396" t="s">
        <v>2257</v>
      </c>
      <c r="C38" s="396" t="s">
        <v>1421</v>
      </c>
      <c r="D38" s="396" t="s">
        <v>2258</v>
      </c>
      <c r="E38" s="396" t="s">
        <v>1017</v>
      </c>
      <c r="F38" s="396" t="s">
        <v>2259</v>
      </c>
      <c r="G38" s="396" t="s">
        <v>2260</v>
      </c>
      <c r="H38" s="396" t="s">
        <v>2261</v>
      </c>
    </row>
    <row r="39" spans="1:8">
      <c r="A39" s="1457"/>
      <c r="B39" s="395" t="s">
        <v>3386</v>
      </c>
      <c r="C39" s="395" t="s">
        <v>3386</v>
      </c>
      <c r="D39" s="395" t="s">
        <v>3386</v>
      </c>
      <c r="E39" s="395" t="s">
        <v>3386</v>
      </c>
      <c r="F39" s="395" t="s">
        <v>3386</v>
      </c>
      <c r="G39" s="395" t="s">
        <v>3228</v>
      </c>
      <c r="H39" s="397"/>
    </row>
    <row r="40" spans="1:8">
      <c r="A40" s="162" t="s">
        <v>1759</v>
      </c>
      <c r="B40" s="165">
        <f>SUM(B41:B43)</f>
        <v>0</v>
      </c>
      <c r="C40" s="165">
        <f>SUM(C41:C43)</f>
        <v>0</v>
      </c>
      <c r="D40" s="165">
        <f>SUM(D41:D43)</f>
        <v>0</v>
      </c>
      <c r="E40" s="165">
        <f>SUM(E41:E43)</f>
        <v>0</v>
      </c>
      <c r="F40" s="165">
        <f>SUM(F41:F43)</f>
        <v>0</v>
      </c>
      <c r="G40" s="168">
        <v>0</v>
      </c>
      <c r="H40" s="169"/>
    </row>
    <row r="41" spans="1:8">
      <c r="A41" s="64" t="s">
        <v>953</v>
      </c>
      <c r="B41" s="159">
        <f>SUM('TRAIL BALANCE'!C197:C198)</f>
        <v>0</v>
      </c>
      <c r="C41" s="159">
        <v>0</v>
      </c>
      <c r="D41" s="159">
        <f>SUM(B41:C41)</f>
        <v>0</v>
      </c>
      <c r="E41" s="159">
        <f>SUM('TRAIL BALANCE'!D197:D198)</f>
        <v>0</v>
      </c>
      <c r="F41" s="159">
        <f>D41-E41</f>
        <v>0</v>
      </c>
      <c r="G41" s="170">
        <v>0</v>
      </c>
      <c r="H41" s="163"/>
    </row>
    <row r="42" spans="1:8">
      <c r="A42" s="64" t="s">
        <v>1790</v>
      </c>
      <c r="B42" s="159">
        <v>0</v>
      </c>
      <c r="C42" s="159">
        <v>0</v>
      </c>
      <c r="D42" s="159">
        <f>SUM(B42:C42)</f>
        <v>0</v>
      </c>
      <c r="E42" s="159">
        <v>0</v>
      </c>
      <c r="F42" s="159">
        <f>D42-E42</f>
        <v>0</v>
      </c>
      <c r="G42" s="170">
        <v>0</v>
      </c>
      <c r="H42" s="163"/>
    </row>
    <row r="43" spans="1:8">
      <c r="A43" s="64" t="s">
        <v>954</v>
      </c>
      <c r="B43" s="159">
        <f>SUM('TRAIL BALANCE'!C382:C385)</f>
        <v>0</v>
      </c>
      <c r="C43" s="159">
        <v>0</v>
      </c>
      <c r="D43" s="159">
        <f>SUM(B43:C43)</f>
        <v>0</v>
      </c>
      <c r="E43" s="159">
        <f>SUM('TRAIL BALANCE'!D382:D385)</f>
        <v>0</v>
      </c>
      <c r="F43" s="159">
        <f>D43-E43</f>
        <v>0</v>
      </c>
      <c r="G43" s="170">
        <v>0</v>
      </c>
      <c r="H43" s="163"/>
    </row>
    <row r="44" spans="1:8">
      <c r="A44" s="64"/>
      <c r="B44" s="159"/>
      <c r="C44" s="159"/>
      <c r="D44" s="159"/>
      <c r="E44" s="159"/>
      <c r="F44" s="159"/>
      <c r="G44" s="170"/>
      <c r="H44" s="163" t="s">
        <v>55</v>
      </c>
    </row>
    <row r="45" spans="1:8">
      <c r="A45" s="162" t="s">
        <v>1763</v>
      </c>
      <c r="B45" s="165">
        <f>SUM(B46:B47)</f>
        <v>0</v>
      </c>
      <c r="C45" s="165">
        <f>SUM(C46:C47)</f>
        <v>0</v>
      </c>
      <c r="D45" s="165">
        <f>SUM(D46:D47)</f>
        <v>0</v>
      </c>
      <c r="E45" s="165">
        <f>SUM(E46:E47)</f>
        <v>0</v>
      </c>
      <c r="F45" s="165">
        <f>SUM(F46:F47)</f>
        <v>0</v>
      </c>
      <c r="G45" s="168">
        <v>0</v>
      </c>
      <c r="H45" s="163" t="s">
        <v>55</v>
      </c>
    </row>
    <row r="46" spans="1:8">
      <c r="A46" s="64" t="s">
        <v>3010</v>
      </c>
      <c r="B46" s="159">
        <v>0</v>
      </c>
      <c r="C46" s="159">
        <v>0</v>
      </c>
      <c r="D46" s="159">
        <f>SUM(B46:C46)</f>
        <v>0</v>
      </c>
      <c r="E46" s="159">
        <v>0</v>
      </c>
      <c r="F46" s="159">
        <f>D46-E46</f>
        <v>0</v>
      </c>
      <c r="G46" s="170">
        <v>0</v>
      </c>
      <c r="H46" s="163"/>
    </row>
    <row r="47" spans="1:8">
      <c r="A47" s="64" t="s">
        <v>1764</v>
      </c>
      <c r="B47" s="159">
        <v>0</v>
      </c>
      <c r="C47" s="159">
        <v>0</v>
      </c>
      <c r="D47" s="159">
        <f>SUM(B47:C47)</f>
        <v>0</v>
      </c>
      <c r="E47" s="159">
        <v>0</v>
      </c>
      <c r="F47" s="159">
        <f>D47-E47</f>
        <v>0</v>
      </c>
      <c r="G47" s="170">
        <v>0</v>
      </c>
      <c r="H47" s="163"/>
    </row>
    <row r="48" spans="1:8">
      <c r="A48" s="64"/>
      <c r="B48" s="159"/>
      <c r="C48" s="159"/>
      <c r="D48" s="159"/>
      <c r="E48" s="159"/>
      <c r="F48" s="159"/>
      <c r="G48" s="170"/>
      <c r="H48" s="163" t="s">
        <v>55</v>
      </c>
    </row>
    <row r="49" spans="1:8">
      <c r="A49" s="162" t="s">
        <v>1765</v>
      </c>
      <c r="B49" s="165">
        <f>B50</f>
        <v>0</v>
      </c>
      <c r="C49" s="165">
        <f>C50</f>
        <v>0</v>
      </c>
      <c r="D49" s="165">
        <f>D50</f>
        <v>0</v>
      </c>
      <c r="E49" s="165">
        <f>E50</f>
        <v>0</v>
      </c>
      <c r="F49" s="165">
        <f>F50</f>
        <v>0</v>
      </c>
      <c r="G49" s="168">
        <v>0</v>
      </c>
      <c r="H49" s="171" t="s">
        <v>55</v>
      </c>
    </row>
    <row r="50" spans="1:8">
      <c r="A50" s="64" t="s">
        <v>955</v>
      </c>
      <c r="B50" s="159">
        <f>SUM('TRAIL BALANCE'!C362:C364)</f>
        <v>0</v>
      </c>
      <c r="C50" s="159">
        <v>0</v>
      </c>
      <c r="D50" s="159">
        <v>0</v>
      </c>
      <c r="E50" s="159">
        <f>SUM('TRAIL BALANCE'!D362:D364)</f>
        <v>0</v>
      </c>
      <c r="F50" s="159">
        <f>D50-E50</f>
        <v>0</v>
      </c>
      <c r="G50" s="170">
        <v>0</v>
      </c>
      <c r="H50" s="580" t="s">
        <v>55</v>
      </c>
    </row>
    <row r="51" spans="1:8">
      <c r="A51" s="64"/>
      <c r="B51" s="20"/>
      <c r="C51" s="159"/>
      <c r="D51" s="159"/>
      <c r="E51" s="159"/>
      <c r="F51" s="159"/>
      <c r="G51" s="170"/>
      <c r="H51" s="163"/>
    </row>
    <row r="52" spans="1:8">
      <c r="A52" s="162" t="s">
        <v>1766</v>
      </c>
      <c r="B52" s="165">
        <f>B53</f>
        <v>0</v>
      </c>
      <c r="C52" s="165">
        <f>C53</f>
        <v>0</v>
      </c>
      <c r="D52" s="165">
        <f>D53</f>
        <v>0</v>
      </c>
      <c r="E52" s="165">
        <f>E53</f>
        <v>0</v>
      </c>
      <c r="F52" s="165">
        <f>F53</f>
        <v>0</v>
      </c>
      <c r="G52" s="168">
        <v>0</v>
      </c>
      <c r="H52" s="171"/>
    </row>
    <row r="53" spans="1:8">
      <c r="A53" s="64" t="s">
        <v>1611</v>
      </c>
      <c r="B53" s="159">
        <v>0</v>
      </c>
      <c r="C53" s="159">
        <v>0</v>
      </c>
      <c r="D53" s="159">
        <f>SUM(B53:C53)</f>
        <v>0</v>
      </c>
      <c r="E53" s="159">
        <v>0</v>
      </c>
      <c r="F53" s="159">
        <f>D53-E53</f>
        <v>0</v>
      </c>
      <c r="G53" s="170">
        <v>0</v>
      </c>
      <c r="H53" s="163"/>
    </row>
    <row r="54" spans="1:8">
      <c r="A54" s="64" t="s">
        <v>1798</v>
      </c>
      <c r="B54" s="159"/>
      <c r="C54" s="159"/>
      <c r="D54" s="159"/>
      <c r="E54" s="159"/>
      <c r="F54" s="159"/>
      <c r="G54" s="170"/>
      <c r="H54" s="163"/>
    </row>
    <row r="55" spans="1:8">
      <c r="A55" s="64"/>
      <c r="B55" s="159"/>
      <c r="C55" s="159"/>
      <c r="D55" s="159"/>
      <c r="E55" s="159"/>
      <c r="F55" s="159"/>
      <c r="G55" s="170"/>
      <c r="H55" s="163"/>
    </row>
    <row r="56" spans="1:8">
      <c r="A56" s="162" t="s">
        <v>1768</v>
      </c>
      <c r="B56" s="165">
        <f>B57</f>
        <v>0</v>
      </c>
      <c r="C56" s="165">
        <f>C57</f>
        <v>0</v>
      </c>
      <c r="D56" s="165">
        <f>D57</f>
        <v>0</v>
      </c>
      <c r="E56" s="165">
        <f>E57</f>
        <v>0</v>
      </c>
      <c r="F56" s="165">
        <f>F57</f>
        <v>0</v>
      </c>
      <c r="G56" s="168">
        <v>0</v>
      </c>
      <c r="H56" s="171"/>
    </row>
    <row r="57" spans="1:8">
      <c r="A57" s="64" t="s">
        <v>956</v>
      </c>
      <c r="B57" s="159">
        <f>SUM('TRAIL BALANCE'!C418:C419)</f>
        <v>0</v>
      </c>
      <c r="C57" s="159">
        <v>0</v>
      </c>
      <c r="D57" s="159">
        <f>SUM(B57:C57)</f>
        <v>0</v>
      </c>
      <c r="E57" s="159">
        <f>SUM('TRAIL BALANCE'!D418:D419)</f>
        <v>0</v>
      </c>
      <c r="F57" s="159">
        <f>D57-E57</f>
        <v>0</v>
      </c>
      <c r="G57" s="170">
        <v>0</v>
      </c>
      <c r="H57" s="580" t="s">
        <v>55</v>
      </c>
    </row>
    <row r="58" spans="1:8">
      <c r="A58" s="64"/>
      <c r="B58" s="159"/>
      <c r="C58" s="159"/>
      <c r="D58" s="159"/>
      <c r="E58" s="159"/>
      <c r="F58" s="159"/>
      <c r="G58" s="170"/>
      <c r="H58" s="163"/>
    </row>
    <row r="59" spans="1:8">
      <c r="A59" s="162" t="s">
        <v>1770</v>
      </c>
      <c r="B59" s="165">
        <f>B60</f>
        <v>0</v>
      </c>
      <c r="C59" s="165">
        <f>C60</f>
        <v>0</v>
      </c>
      <c r="D59" s="165">
        <f>D60</f>
        <v>0</v>
      </c>
      <c r="E59" s="165">
        <f>E60</f>
        <v>0</v>
      </c>
      <c r="F59" s="165">
        <f>F60</f>
        <v>0</v>
      </c>
      <c r="G59" s="168">
        <v>0</v>
      </c>
      <c r="H59" s="171"/>
    </row>
    <row r="60" spans="1:8">
      <c r="A60" s="64" t="s">
        <v>1101</v>
      </c>
      <c r="B60" s="159">
        <v>0</v>
      </c>
      <c r="C60" s="159">
        <v>0</v>
      </c>
      <c r="D60" s="159">
        <v>0</v>
      </c>
      <c r="E60" s="159">
        <v>0</v>
      </c>
      <c r="F60" s="159">
        <v>0</v>
      </c>
      <c r="G60" s="170">
        <v>0</v>
      </c>
      <c r="H60" s="163"/>
    </row>
    <row r="61" spans="1:8">
      <c r="A61" s="164"/>
      <c r="B61" s="172"/>
      <c r="C61" s="172"/>
      <c r="D61" s="172"/>
      <c r="E61" s="172"/>
      <c r="F61" s="172"/>
      <c r="G61" s="172"/>
      <c r="H61" s="167"/>
    </row>
    <row r="64" spans="1:8" ht="18" customHeight="1">
      <c r="A64" s="1458" t="s">
        <v>2254</v>
      </c>
      <c r="B64" s="1458"/>
      <c r="C64" s="1458"/>
      <c r="D64" s="1458"/>
      <c r="E64" s="1458"/>
      <c r="F64" s="1458"/>
      <c r="G64" s="1458"/>
      <c r="H64" s="1458"/>
    </row>
    <row r="65" spans="1:8" ht="15.75" customHeight="1">
      <c r="A65" s="1459" t="s">
        <v>55</v>
      </c>
      <c r="B65" s="1458"/>
      <c r="C65" s="1458"/>
      <c r="D65" s="1458"/>
      <c r="E65" s="1458"/>
      <c r="F65" s="1458"/>
      <c r="G65" s="1458"/>
      <c r="H65" s="1458"/>
    </row>
    <row r="66" spans="1:8" ht="15.75" customHeight="1">
      <c r="A66" s="1458" t="s">
        <v>2256</v>
      </c>
      <c r="B66" s="1458"/>
      <c r="C66" s="1458"/>
      <c r="D66" s="1458"/>
      <c r="E66" s="1458"/>
      <c r="F66" s="1458"/>
      <c r="G66" s="1458"/>
      <c r="H66" s="1458"/>
    </row>
    <row r="67" spans="1:8" ht="15" customHeight="1">
      <c r="A67" s="1458" t="s">
        <v>3093</v>
      </c>
      <c r="B67" s="1458"/>
      <c r="C67" s="1458"/>
      <c r="D67" s="1458"/>
      <c r="E67" s="1458"/>
      <c r="F67" s="1458"/>
      <c r="G67" s="1458"/>
      <c r="H67" s="1458"/>
    </row>
    <row r="68" spans="1:8">
      <c r="A68" s="34"/>
      <c r="B68" s="34"/>
      <c r="C68" s="34"/>
      <c r="D68" s="34"/>
      <c r="E68" s="34"/>
      <c r="F68" s="34"/>
      <c r="G68" s="34"/>
      <c r="H68" s="34"/>
    </row>
    <row r="69" spans="1:8">
      <c r="A69" s="1455"/>
      <c r="B69" s="394">
        <v>2008</v>
      </c>
      <c r="C69" s="394">
        <v>2008</v>
      </c>
      <c r="D69" s="394">
        <v>2008</v>
      </c>
      <c r="E69" s="394">
        <v>2008</v>
      </c>
      <c r="F69" s="394">
        <v>2008</v>
      </c>
      <c r="G69" s="394">
        <v>2008</v>
      </c>
      <c r="H69" s="394"/>
    </row>
    <row r="70" spans="1:8" s="12" customFormat="1" ht="25.5">
      <c r="A70" s="1456"/>
      <c r="B70" s="396" t="s">
        <v>2257</v>
      </c>
      <c r="C70" s="396" t="s">
        <v>1421</v>
      </c>
      <c r="D70" s="396" t="s">
        <v>2258</v>
      </c>
      <c r="E70" s="396" t="s">
        <v>1017</v>
      </c>
      <c r="F70" s="396" t="s">
        <v>2259</v>
      </c>
      <c r="G70" s="396" t="s">
        <v>2260</v>
      </c>
      <c r="H70" s="396" t="s">
        <v>2261</v>
      </c>
    </row>
    <row r="71" spans="1:8">
      <c r="A71" s="1457"/>
      <c r="B71" s="395" t="s">
        <v>3386</v>
      </c>
      <c r="C71" s="395" t="s">
        <v>3386</v>
      </c>
      <c r="D71" s="395" t="s">
        <v>3386</v>
      </c>
      <c r="E71" s="395" t="s">
        <v>3386</v>
      </c>
      <c r="F71" s="395" t="s">
        <v>3386</v>
      </c>
      <c r="G71" s="395" t="s">
        <v>3228</v>
      </c>
      <c r="H71" s="397"/>
    </row>
    <row r="72" spans="1:8">
      <c r="A72" s="162" t="s">
        <v>1771</v>
      </c>
      <c r="B72" s="165">
        <f>B73+B74</f>
        <v>0</v>
      </c>
      <c r="C72" s="165">
        <f>C73+C74</f>
        <v>0</v>
      </c>
      <c r="D72" s="165">
        <f>D73+D74</f>
        <v>0</v>
      </c>
      <c r="E72" s="165">
        <f>E73+E74</f>
        <v>0</v>
      </c>
      <c r="F72" s="165">
        <f>D72-E72</f>
        <v>0</v>
      </c>
      <c r="G72" s="168">
        <v>0</v>
      </c>
      <c r="H72" s="173"/>
    </row>
    <row r="73" spans="1:8">
      <c r="A73" s="64" t="s">
        <v>3223</v>
      </c>
      <c r="B73" s="159">
        <v>0</v>
      </c>
      <c r="C73" s="159">
        <v>0</v>
      </c>
      <c r="D73" s="159">
        <v>0</v>
      </c>
      <c r="E73" s="159">
        <v>0</v>
      </c>
      <c r="F73" s="159">
        <v>0</v>
      </c>
      <c r="G73" s="170">
        <v>0</v>
      </c>
      <c r="H73" s="163"/>
    </row>
    <row r="74" spans="1:8">
      <c r="A74" s="64" t="s">
        <v>957</v>
      </c>
      <c r="B74" s="159">
        <v>0</v>
      </c>
      <c r="C74" s="159">
        <v>0</v>
      </c>
      <c r="D74" s="159">
        <v>0</v>
      </c>
      <c r="E74" s="159">
        <v>0</v>
      </c>
      <c r="F74" s="159">
        <v>0</v>
      </c>
      <c r="G74" s="170">
        <v>0</v>
      </c>
      <c r="H74" s="163"/>
    </row>
    <row r="75" spans="1:8">
      <c r="A75" s="64"/>
      <c r="B75" s="159"/>
      <c r="C75" s="159"/>
      <c r="D75" s="159"/>
      <c r="E75" s="159"/>
      <c r="F75" s="159"/>
      <c r="G75" s="159"/>
      <c r="H75" s="163"/>
    </row>
    <row r="76" spans="1:8">
      <c r="A76" s="162" t="s">
        <v>1774</v>
      </c>
      <c r="B76" s="165">
        <f>B77+B78</f>
        <v>0</v>
      </c>
      <c r="C76" s="165">
        <f>C77+C78</f>
        <v>0</v>
      </c>
      <c r="D76" s="165">
        <f>D77+D78</f>
        <v>0</v>
      </c>
      <c r="E76" s="165">
        <f>E77+E78</f>
        <v>0</v>
      </c>
      <c r="F76" s="165">
        <f>D76-E76</f>
        <v>0</v>
      </c>
      <c r="G76" s="168">
        <v>0</v>
      </c>
      <c r="H76" s="171"/>
    </row>
    <row r="77" spans="1:8">
      <c r="A77" s="64" t="s">
        <v>3225</v>
      </c>
      <c r="B77" s="159">
        <f>SUM('TRAIL BALANCE'!C553:C557)</f>
        <v>0</v>
      </c>
      <c r="C77" s="159">
        <v>0</v>
      </c>
      <c r="D77" s="159">
        <f>SUM(B77:C77)</f>
        <v>0</v>
      </c>
      <c r="E77" s="159">
        <f>SUM('TRAIL BALANCE'!D553:D557)</f>
        <v>0</v>
      </c>
      <c r="F77" s="159">
        <f>D77-E77</f>
        <v>0</v>
      </c>
      <c r="G77" s="170">
        <v>0</v>
      </c>
      <c r="H77" s="580" t="s">
        <v>55</v>
      </c>
    </row>
    <row r="78" spans="1:8">
      <c r="A78" s="64" t="s">
        <v>3226</v>
      </c>
      <c r="B78" s="159">
        <v>0</v>
      </c>
      <c r="C78" s="159">
        <v>0</v>
      </c>
      <c r="D78" s="159">
        <f>SUM(B78:C78)</f>
        <v>0</v>
      </c>
      <c r="E78" s="159">
        <v>0</v>
      </c>
      <c r="F78" s="159">
        <f>D78-E78</f>
        <v>0</v>
      </c>
      <c r="G78" s="170">
        <v>0</v>
      </c>
      <c r="H78" s="163"/>
    </row>
    <row r="79" spans="1:8" ht="13.5" thickBot="1">
      <c r="A79" s="64"/>
      <c r="B79" s="174"/>
      <c r="C79" s="174"/>
      <c r="D79" s="174"/>
      <c r="E79" s="174"/>
      <c r="F79" s="174"/>
      <c r="G79" s="174"/>
      <c r="H79" s="64"/>
    </row>
    <row r="80" spans="1:8">
      <c r="A80" s="162" t="s">
        <v>3011</v>
      </c>
      <c r="B80" s="165">
        <v>0</v>
      </c>
      <c r="C80" s="165">
        <v>0</v>
      </c>
      <c r="D80" s="165">
        <v>0</v>
      </c>
      <c r="E80" s="165">
        <v>0</v>
      </c>
      <c r="F80" s="165">
        <v>0</v>
      </c>
      <c r="G80" s="168">
        <v>0</v>
      </c>
      <c r="H80" s="169"/>
    </row>
    <row r="81" spans="1:8">
      <c r="A81" s="164"/>
      <c r="B81" s="160"/>
      <c r="C81" s="160"/>
      <c r="D81" s="160"/>
      <c r="E81" s="160"/>
      <c r="F81" s="160"/>
      <c r="G81" s="160"/>
      <c r="H81" s="167"/>
    </row>
    <row r="82" spans="1:8">
      <c r="D82" s="30"/>
      <c r="E82" s="30"/>
    </row>
    <row r="83" spans="1:8">
      <c r="D83" s="30"/>
      <c r="E83" s="30"/>
    </row>
    <row r="85" spans="1:8">
      <c r="D85" s="306"/>
      <c r="E85" s="306"/>
    </row>
    <row r="87" spans="1:8">
      <c r="B87" s="165">
        <f>B83+B79+B66+B63+B59+B56+B52+B47+B34+B29+B26+B19+B16</f>
        <v>1114253.1000000001</v>
      </c>
      <c r="C87" s="165">
        <f>C83+C79+C66+C63+C59+C56+C52+C47+C34+C29+C26+C19+C16</f>
        <v>537577</v>
      </c>
      <c r="D87" s="165">
        <f>D83+D79+D66+D63+D59+D56+D52+D47+D34+D29+D26+D19+D16</f>
        <v>1651830.1</v>
      </c>
      <c r="E87" s="165">
        <f>E83+E79+E66+E63+E59+E56+E52+E47+E34+E29+E26+E19+E16</f>
        <v>2886645</v>
      </c>
      <c r="F87" s="165">
        <f>D87-E87</f>
        <v>-1234814.8999999999</v>
      </c>
      <c r="G87" s="168">
        <f>F87/E87*100</f>
        <v>-42.776818763651228</v>
      </c>
    </row>
    <row r="89" spans="1:8">
      <c r="D89" s="307"/>
      <c r="E89" s="306"/>
    </row>
  </sheetData>
  <mergeCells count="15">
    <mergeCell ref="A35:H35"/>
    <mergeCell ref="A1:H1"/>
    <mergeCell ref="A2:H2"/>
    <mergeCell ref="A3:H3"/>
    <mergeCell ref="A4:H4"/>
    <mergeCell ref="A6:A8"/>
    <mergeCell ref="A32:H32"/>
    <mergeCell ref="A33:H33"/>
    <mergeCell ref="A34:H34"/>
    <mergeCell ref="A37:A39"/>
    <mergeCell ref="A69:A71"/>
    <mergeCell ref="A64:H64"/>
    <mergeCell ref="A65:H65"/>
    <mergeCell ref="A66:H66"/>
    <mergeCell ref="A67:H67"/>
  </mergeCells>
  <phoneticPr fontId="0" type="noConversion"/>
  <printOptions horizontalCentered="1"/>
  <pageMargins left="0.6692913385826772" right="0.39370078740157483" top="0.98425196850393704" bottom="0.98425196850393704" header="0.51181102362204722" footer="0.51181102362204722"/>
  <pageSetup scale="57" orientation="portrait" r:id="rId1"/>
  <headerFooter>
    <oddHeader>&amp;C FINANCIAL STATEMENTS: MUSINA LOCAL MUNICIPALITY</oddHeader>
    <oddFooter>&amp;RPage &amp;P</oddFooter>
  </headerFooter>
  <rowBreaks count="2" manualBreakCount="2">
    <brk id="31" max="16383" man="1"/>
    <brk id="62" max="16383" man="1"/>
  </rowBreaks>
</worksheet>
</file>

<file path=xl/worksheets/sheet27.xml><?xml version="1.0" encoding="utf-8"?>
<worksheet xmlns="http://schemas.openxmlformats.org/spreadsheetml/2006/main" xmlns:r="http://schemas.openxmlformats.org/officeDocument/2006/relationships">
  <dimension ref="A1:M164"/>
  <sheetViews>
    <sheetView view="pageBreakPreview" zoomScaleSheetLayoutView="100" workbookViewId="0">
      <selection activeCell="B32" sqref="B32"/>
    </sheetView>
  </sheetViews>
  <sheetFormatPr defaultRowHeight="12.75"/>
  <cols>
    <col min="1" max="1" width="22.42578125" style="335" bestFit="1" customWidth="1"/>
    <col min="2" max="2" width="34.28515625" style="333" bestFit="1" customWidth="1"/>
    <col min="3" max="3" width="17.5703125" style="356" bestFit="1" customWidth="1"/>
    <col min="4" max="4" width="38.7109375" style="333" bestFit="1" customWidth="1"/>
    <col min="5" max="5" width="18.42578125" style="377" bestFit="1" customWidth="1"/>
    <col min="6" max="16384" width="9.140625" style="333"/>
  </cols>
  <sheetData>
    <row r="1" spans="1:13" s="328" customFormat="1" ht="15.75">
      <c r="A1" s="1462" t="s">
        <v>958</v>
      </c>
      <c r="B1" s="1462"/>
      <c r="C1" s="1462"/>
      <c r="D1" s="1462"/>
      <c r="E1" s="1462"/>
      <c r="F1" s="332"/>
      <c r="G1" s="329"/>
      <c r="H1" s="332"/>
      <c r="I1" s="332"/>
      <c r="J1" s="332"/>
      <c r="K1" s="332"/>
      <c r="L1" s="332"/>
      <c r="M1" s="330"/>
    </row>
    <row r="2" spans="1:13" s="328" customFormat="1" ht="15.75" customHeight="1">
      <c r="A2" s="1462" t="s">
        <v>959</v>
      </c>
      <c r="B2" s="1462"/>
      <c r="C2" s="1462"/>
      <c r="D2" s="1462"/>
      <c r="E2" s="1462"/>
      <c r="F2" s="332"/>
      <c r="G2" s="329"/>
      <c r="H2" s="332"/>
      <c r="I2" s="332"/>
      <c r="J2" s="332"/>
      <c r="K2" s="332"/>
      <c r="L2" s="332"/>
      <c r="M2" s="330"/>
    </row>
    <row r="3" spans="1:13" s="328" customFormat="1" ht="15.75" customHeight="1">
      <c r="A3" s="1462" t="s">
        <v>960</v>
      </c>
      <c r="B3" s="1462"/>
      <c r="C3" s="1462"/>
      <c r="D3" s="1462"/>
      <c r="E3" s="1462"/>
      <c r="F3" s="332"/>
      <c r="G3" s="329"/>
      <c r="H3" s="332"/>
      <c r="I3" s="332"/>
      <c r="J3" s="332"/>
      <c r="K3" s="332"/>
      <c r="L3" s="332"/>
      <c r="M3" s="330"/>
    </row>
    <row r="4" spans="1:13" s="328" customFormat="1" ht="15.75" customHeight="1">
      <c r="A4" s="1462" t="s">
        <v>3093</v>
      </c>
      <c r="B4" s="1462"/>
      <c r="C4" s="1462"/>
      <c r="D4" s="1462"/>
      <c r="E4" s="1462"/>
      <c r="F4" s="332"/>
      <c r="G4" s="329"/>
      <c r="H4" s="332"/>
      <c r="I4" s="332"/>
      <c r="J4" s="332"/>
      <c r="K4" s="332"/>
      <c r="L4" s="332"/>
      <c r="M4" s="330"/>
    </row>
    <row r="5" spans="1:13">
      <c r="A5" s="1461"/>
      <c r="B5" s="1461"/>
      <c r="C5" s="1461"/>
      <c r="D5" s="1461"/>
      <c r="E5" s="366"/>
      <c r="F5" s="334"/>
      <c r="H5" s="334"/>
      <c r="I5" s="334"/>
      <c r="J5" s="334"/>
      <c r="K5" s="334"/>
      <c r="L5" s="334"/>
      <c r="M5" s="334"/>
    </row>
    <row r="6" spans="1:13" ht="31.5" customHeight="1">
      <c r="A6" s="398" t="s">
        <v>2366</v>
      </c>
      <c r="B6" s="399" t="s">
        <v>2367</v>
      </c>
      <c r="C6" s="389" t="s">
        <v>2556</v>
      </c>
      <c r="D6" s="399" t="s">
        <v>2368</v>
      </c>
      <c r="E6" s="400" t="s">
        <v>941</v>
      </c>
    </row>
    <row r="7" spans="1:13">
      <c r="A7" s="401">
        <v>39264</v>
      </c>
      <c r="B7" s="336"/>
      <c r="C7" s="337"/>
      <c r="D7" s="367"/>
      <c r="E7" s="372"/>
      <c r="F7" s="334"/>
    </row>
    <row r="8" spans="1:13">
      <c r="A8" s="338" t="s">
        <v>2557</v>
      </c>
      <c r="B8" s="339" t="s">
        <v>2558</v>
      </c>
      <c r="C8" s="340">
        <v>14674.08</v>
      </c>
      <c r="D8" s="350" t="s">
        <v>2559</v>
      </c>
      <c r="E8" s="373">
        <v>53169</v>
      </c>
      <c r="F8" s="334"/>
    </row>
    <row r="9" spans="1:13">
      <c r="A9" s="338" t="s">
        <v>2557</v>
      </c>
      <c r="B9" s="339" t="s">
        <v>2560</v>
      </c>
      <c r="C9" s="340">
        <v>45000</v>
      </c>
      <c r="D9" s="350" t="s">
        <v>2561</v>
      </c>
      <c r="E9" s="373">
        <v>53248</v>
      </c>
      <c r="F9" s="334"/>
    </row>
    <row r="10" spans="1:13">
      <c r="A10" s="338" t="s">
        <v>55</v>
      </c>
      <c r="B10" s="339" t="s">
        <v>55</v>
      </c>
      <c r="C10" s="340" t="s">
        <v>55</v>
      </c>
      <c r="D10" s="350" t="s">
        <v>55</v>
      </c>
      <c r="E10" s="373"/>
      <c r="F10" s="334"/>
    </row>
    <row r="11" spans="1:13">
      <c r="A11" s="402">
        <v>39295</v>
      </c>
      <c r="B11" s="341"/>
      <c r="C11" s="342"/>
      <c r="D11" s="368"/>
      <c r="E11" s="374"/>
      <c r="F11" s="334"/>
    </row>
    <row r="12" spans="1:13">
      <c r="A12" s="343" t="s">
        <v>2557</v>
      </c>
      <c r="B12" s="339" t="s">
        <v>2562</v>
      </c>
      <c r="C12" s="340">
        <v>27500</v>
      </c>
      <c r="D12" s="350" t="s">
        <v>2563</v>
      </c>
      <c r="E12" s="373">
        <v>53442</v>
      </c>
      <c r="F12" s="334"/>
    </row>
    <row r="13" spans="1:13">
      <c r="A13" s="343" t="s">
        <v>2564</v>
      </c>
      <c r="B13" s="339" t="s">
        <v>2565</v>
      </c>
      <c r="C13" s="340">
        <v>41143.06</v>
      </c>
      <c r="D13" s="350" t="s">
        <v>2566</v>
      </c>
      <c r="E13" s="373">
        <v>53437</v>
      </c>
      <c r="F13" s="334"/>
    </row>
    <row r="14" spans="1:13">
      <c r="A14" s="338" t="s">
        <v>55</v>
      </c>
      <c r="B14" s="339" t="s">
        <v>55</v>
      </c>
      <c r="C14" s="340" t="s">
        <v>55</v>
      </c>
      <c r="D14" s="350" t="s">
        <v>55</v>
      </c>
      <c r="E14" s="373"/>
      <c r="F14" s="334"/>
    </row>
    <row r="15" spans="1:13">
      <c r="A15" s="402">
        <v>39326</v>
      </c>
      <c r="B15" s="339"/>
      <c r="C15" s="340"/>
      <c r="D15" s="350"/>
      <c r="E15" s="373"/>
      <c r="F15" s="334"/>
    </row>
    <row r="16" spans="1:13">
      <c r="A16" s="338" t="s">
        <v>2557</v>
      </c>
      <c r="B16" s="339" t="s">
        <v>2567</v>
      </c>
      <c r="C16" s="340">
        <v>5000</v>
      </c>
      <c r="D16" s="350" t="s">
        <v>942</v>
      </c>
      <c r="E16" s="373">
        <v>53749</v>
      </c>
      <c r="F16" s="334" t="s">
        <v>2568</v>
      </c>
      <c r="G16" s="333" t="s">
        <v>2569</v>
      </c>
    </row>
    <row r="17" spans="1:7">
      <c r="A17" s="338" t="s">
        <v>2557</v>
      </c>
      <c r="B17" s="339" t="s">
        <v>2570</v>
      </c>
      <c r="C17" s="340">
        <v>9000</v>
      </c>
      <c r="D17" s="350" t="s">
        <v>942</v>
      </c>
      <c r="E17" s="373">
        <v>53730</v>
      </c>
      <c r="F17" s="334" t="s">
        <v>2571</v>
      </c>
      <c r="G17" s="333" t="s">
        <v>2569</v>
      </c>
    </row>
    <row r="18" spans="1:7">
      <c r="A18" s="338" t="s">
        <v>2557</v>
      </c>
      <c r="B18" s="339" t="s">
        <v>2572</v>
      </c>
      <c r="C18" s="340">
        <v>3500</v>
      </c>
      <c r="D18" s="350" t="s">
        <v>942</v>
      </c>
      <c r="E18" s="373">
        <v>53728</v>
      </c>
      <c r="F18" s="334"/>
      <c r="G18" s="333" t="s">
        <v>2569</v>
      </c>
    </row>
    <row r="19" spans="1:7">
      <c r="A19" s="338" t="s">
        <v>2557</v>
      </c>
      <c r="B19" s="339" t="s">
        <v>2572</v>
      </c>
      <c r="C19" s="340">
        <v>12500</v>
      </c>
      <c r="D19" s="350" t="s">
        <v>942</v>
      </c>
      <c r="E19" s="373">
        <v>53727</v>
      </c>
      <c r="F19" s="334"/>
      <c r="G19" s="333" t="s">
        <v>2569</v>
      </c>
    </row>
    <row r="20" spans="1:7">
      <c r="A20" s="338" t="s">
        <v>2557</v>
      </c>
      <c r="B20" s="339" t="s">
        <v>2572</v>
      </c>
      <c r="C20" s="340">
        <v>12500</v>
      </c>
      <c r="D20" s="350" t="s">
        <v>942</v>
      </c>
      <c r="E20" s="373">
        <v>53722</v>
      </c>
      <c r="F20" s="334"/>
      <c r="G20" s="333" t="s">
        <v>2569</v>
      </c>
    </row>
    <row r="21" spans="1:7">
      <c r="A21" s="338" t="s">
        <v>617</v>
      </c>
      <c r="B21" s="339" t="s">
        <v>2573</v>
      </c>
      <c r="C21" s="340">
        <v>130199.4</v>
      </c>
      <c r="D21" s="350" t="s">
        <v>2574</v>
      </c>
      <c r="E21" s="373">
        <v>53636</v>
      </c>
      <c r="F21" s="334"/>
      <c r="G21" s="333" t="s">
        <v>2569</v>
      </c>
    </row>
    <row r="22" spans="1:7">
      <c r="A22" s="338" t="s">
        <v>2575</v>
      </c>
      <c r="B22" s="339" t="s">
        <v>2576</v>
      </c>
      <c r="C22" s="340">
        <v>13764.09</v>
      </c>
      <c r="D22" s="350" t="s">
        <v>2365</v>
      </c>
      <c r="E22" s="373">
        <v>53619</v>
      </c>
      <c r="F22" s="334"/>
    </row>
    <row r="23" spans="1:7">
      <c r="A23" s="338" t="s">
        <v>1769</v>
      </c>
      <c r="B23" s="339" t="s">
        <v>2577</v>
      </c>
      <c r="C23" s="340">
        <v>22404.42</v>
      </c>
      <c r="D23" s="350" t="s">
        <v>2578</v>
      </c>
      <c r="E23" s="373">
        <v>53618</v>
      </c>
      <c r="F23" s="334"/>
    </row>
    <row r="24" spans="1:7">
      <c r="A24" s="338"/>
      <c r="B24" s="339"/>
      <c r="C24" s="340"/>
      <c r="D24" s="350"/>
      <c r="E24" s="373"/>
      <c r="F24" s="334"/>
    </row>
    <row r="25" spans="1:7">
      <c r="A25" s="402">
        <v>39356</v>
      </c>
      <c r="B25" s="339"/>
      <c r="C25" s="340"/>
      <c r="D25" s="350"/>
      <c r="E25" s="373"/>
      <c r="F25" s="334"/>
    </row>
    <row r="26" spans="1:7">
      <c r="A26" s="338" t="s">
        <v>55</v>
      </c>
      <c r="B26" s="339" t="s">
        <v>55</v>
      </c>
      <c r="C26" s="340" t="s">
        <v>55</v>
      </c>
      <c r="D26" s="350" t="s">
        <v>55</v>
      </c>
      <c r="E26" s="373"/>
      <c r="F26" s="334"/>
    </row>
    <row r="27" spans="1:7">
      <c r="A27" s="402">
        <v>39387</v>
      </c>
      <c r="B27" s="339"/>
      <c r="C27" s="340"/>
      <c r="D27" s="350"/>
      <c r="E27" s="373"/>
      <c r="F27" s="334"/>
    </row>
    <row r="28" spans="1:7">
      <c r="A28" s="338" t="s">
        <v>2575</v>
      </c>
      <c r="B28" s="339" t="s">
        <v>2579</v>
      </c>
      <c r="C28" s="340">
        <v>20593.189999999999</v>
      </c>
      <c r="D28" s="350" t="s">
        <v>963</v>
      </c>
      <c r="E28" s="373">
        <v>54352</v>
      </c>
      <c r="F28" s="334"/>
    </row>
    <row r="29" spans="1:7">
      <c r="A29" s="338" t="s">
        <v>2580</v>
      </c>
      <c r="B29" s="339" t="s">
        <v>2581</v>
      </c>
      <c r="C29" s="340">
        <v>56270</v>
      </c>
      <c r="D29" s="350" t="s">
        <v>943</v>
      </c>
      <c r="E29" s="373">
        <v>54332</v>
      </c>
      <c r="F29" s="334"/>
      <c r="G29" s="333" t="s">
        <v>2582</v>
      </c>
    </row>
    <row r="30" spans="1:7">
      <c r="A30" s="338" t="s">
        <v>2557</v>
      </c>
      <c r="B30" s="339" t="s">
        <v>2583</v>
      </c>
      <c r="C30" s="340">
        <v>4000</v>
      </c>
      <c r="D30" s="350" t="s">
        <v>3067</v>
      </c>
      <c r="E30" s="373">
        <v>54281</v>
      </c>
      <c r="F30" s="334"/>
      <c r="G30" s="333" t="s">
        <v>2582</v>
      </c>
    </row>
    <row r="31" spans="1:7">
      <c r="A31" s="338" t="s">
        <v>2557</v>
      </c>
      <c r="B31" s="339" t="s">
        <v>2584</v>
      </c>
      <c r="C31" s="340">
        <v>29383.27</v>
      </c>
      <c r="D31" s="350" t="s">
        <v>944</v>
      </c>
      <c r="E31" s="373">
        <v>54372</v>
      </c>
      <c r="F31" s="334"/>
    </row>
    <row r="32" spans="1:7">
      <c r="A32" s="338" t="s">
        <v>2575</v>
      </c>
      <c r="B32" s="339" t="s">
        <v>2585</v>
      </c>
      <c r="C32" s="340">
        <v>7011</v>
      </c>
      <c r="D32" s="350" t="s">
        <v>963</v>
      </c>
      <c r="E32" s="373">
        <v>54295</v>
      </c>
      <c r="F32" s="334"/>
    </row>
    <row r="33" spans="1:8">
      <c r="A33" s="338" t="s">
        <v>2586</v>
      </c>
      <c r="B33" s="339" t="s">
        <v>2587</v>
      </c>
      <c r="C33" s="340">
        <v>41623.97</v>
      </c>
      <c r="D33" s="350" t="s">
        <v>962</v>
      </c>
      <c r="E33" s="373">
        <v>54348</v>
      </c>
      <c r="F33" s="334"/>
    </row>
    <row r="34" spans="1:8">
      <c r="A34" s="338"/>
      <c r="B34" s="339"/>
      <c r="C34" s="340"/>
      <c r="D34" s="350"/>
      <c r="E34" s="373"/>
      <c r="F34" s="334"/>
    </row>
    <row r="35" spans="1:8">
      <c r="A35" s="402">
        <v>39417</v>
      </c>
      <c r="B35" s="339"/>
      <c r="C35" s="340"/>
      <c r="D35" s="350"/>
      <c r="E35" s="373"/>
      <c r="F35" s="334"/>
    </row>
    <row r="36" spans="1:8">
      <c r="A36" s="338" t="s">
        <v>2586</v>
      </c>
      <c r="B36" s="339" t="s">
        <v>2588</v>
      </c>
      <c r="C36" s="340">
        <v>3237.71</v>
      </c>
      <c r="D36" s="350" t="s">
        <v>2589</v>
      </c>
      <c r="E36" s="373">
        <v>54473</v>
      </c>
      <c r="F36" s="334"/>
      <c r="G36" s="333" t="s">
        <v>2569</v>
      </c>
    </row>
    <row r="37" spans="1:8">
      <c r="A37" s="343" t="s">
        <v>2564</v>
      </c>
      <c r="B37" s="339" t="s">
        <v>2590</v>
      </c>
      <c r="C37" s="340">
        <v>81122.399999999994</v>
      </c>
      <c r="D37" s="350" t="s">
        <v>962</v>
      </c>
      <c r="E37" s="373">
        <v>54469</v>
      </c>
      <c r="F37" s="334"/>
    </row>
    <row r="38" spans="1:8">
      <c r="A38" s="343" t="s">
        <v>2557</v>
      </c>
      <c r="B38" s="339" t="s">
        <v>2591</v>
      </c>
      <c r="C38" s="340">
        <v>9106</v>
      </c>
      <c r="D38" s="350" t="s">
        <v>2559</v>
      </c>
      <c r="E38" s="373">
        <v>54459</v>
      </c>
      <c r="F38" s="334"/>
      <c r="G38" s="333" t="s">
        <v>2569</v>
      </c>
      <c r="H38" s="333" t="s">
        <v>2592</v>
      </c>
    </row>
    <row r="39" spans="1:8">
      <c r="A39" s="343" t="s">
        <v>2593</v>
      </c>
      <c r="B39" s="339" t="s">
        <v>2594</v>
      </c>
      <c r="C39" s="340">
        <v>6000</v>
      </c>
      <c r="D39" s="350" t="s">
        <v>2559</v>
      </c>
      <c r="E39" s="373">
        <v>54591</v>
      </c>
      <c r="F39" s="334"/>
      <c r="G39" s="333" t="s">
        <v>2569</v>
      </c>
    </row>
    <row r="40" spans="1:8">
      <c r="A40" s="343" t="s">
        <v>2593</v>
      </c>
      <c r="B40" s="339" t="s">
        <v>2595</v>
      </c>
      <c r="C40" s="340">
        <v>6000</v>
      </c>
      <c r="D40" s="350" t="s">
        <v>2559</v>
      </c>
      <c r="E40" s="373">
        <v>54590</v>
      </c>
      <c r="F40" s="334"/>
      <c r="G40" s="333" t="s">
        <v>2569</v>
      </c>
    </row>
    <row r="41" spans="1:8">
      <c r="A41" s="343" t="s">
        <v>2593</v>
      </c>
      <c r="B41" s="339" t="s">
        <v>2596</v>
      </c>
      <c r="C41" s="340">
        <v>6000</v>
      </c>
      <c r="D41" s="350" t="s">
        <v>2559</v>
      </c>
      <c r="E41" s="373">
        <v>54589</v>
      </c>
      <c r="F41" s="334"/>
      <c r="G41" s="333" t="s">
        <v>2569</v>
      </c>
    </row>
    <row r="42" spans="1:8">
      <c r="A42" s="343" t="s">
        <v>2593</v>
      </c>
      <c r="B42" s="339" t="s">
        <v>2597</v>
      </c>
      <c r="C42" s="340">
        <v>6000</v>
      </c>
      <c r="D42" s="350" t="s">
        <v>2559</v>
      </c>
      <c r="E42" s="373">
        <v>54587</v>
      </c>
      <c r="F42" s="334"/>
      <c r="G42" s="333" t="s">
        <v>2569</v>
      </c>
    </row>
    <row r="43" spans="1:8">
      <c r="A43" s="343" t="s">
        <v>2593</v>
      </c>
      <c r="B43" s="339" t="s">
        <v>2598</v>
      </c>
      <c r="C43" s="340">
        <v>10357.35</v>
      </c>
      <c r="D43" s="350" t="s">
        <v>2599</v>
      </c>
      <c r="E43" s="373">
        <v>54569</v>
      </c>
      <c r="F43" s="334"/>
      <c r="G43" s="333" t="s">
        <v>2569</v>
      </c>
    </row>
    <row r="44" spans="1:8">
      <c r="A44" s="343" t="s">
        <v>2593</v>
      </c>
      <c r="B44" s="339" t="s">
        <v>2595</v>
      </c>
      <c r="C44" s="340">
        <v>28785</v>
      </c>
      <c r="D44" s="350" t="s">
        <v>2559</v>
      </c>
      <c r="E44" s="373"/>
      <c r="F44" s="334"/>
      <c r="G44" s="333" t="s">
        <v>2569</v>
      </c>
    </row>
    <row r="45" spans="1:8">
      <c r="A45" s="343"/>
      <c r="B45" s="339"/>
      <c r="C45" s="340"/>
      <c r="D45" s="350"/>
      <c r="E45" s="373"/>
      <c r="F45" s="334"/>
    </row>
    <row r="46" spans="1:8">
      <c r="A46" s="402">
        <v>39448</v>
      </c>
      <c r="B46" s="341"/>
      <c r="C46" s="342"/>
      <c r="D46" s="368"/>
      <c r="E46" s="374"/>
    </row>
    <row r="47" spans="1:8">
      <c r="A47" s="338"/>
      <c r="B47" s="339"/>
      <c r="C47" s="340"/>
      <c r="D47" s="350"/>
      <c r="E47" s="373"/>
    </row>
    <row r="48" spans="1:8">
      <c r="A48" s="402">
        <v>39479</v>
      </c>
      <c r="B48" s="341"/>
      <c r="C48" s="344"/>
      <c r="D48" s="369"/>
      <c r="E48" s="374"/>
    </row>
    <row r="49" spans="1:9">
      <c r="A49" s="338" t="s">
        <v>2575</v>
      </c>
      <c r="B49" s="339" t="s">
        <v>2600</v>
      </c>
      <c r="C49" s="345">
        <v>12117.85</v>
      </c>
      <c r="D49" s="350" t="s">
        <v>2601</v>
      </c>
      <c r="E49" s="373">
        <v>55187</v>
      </c>
      <c r="G49" s="333" t="s">
        <v>2602</v>
      </c>
    </row>
    <row r="50" spans="1:9">
      <c r="A50" s="338" t="s">
        <v>1021</v>
      </c>
      <c r="B50" s="339" t="s">
        <v>1022</v>
      </c>
      <c r="C50" s="345">
        <v>9203.9</v>
      </c>
      <c r="D50" s="350" t="s">
        <v>1023</v>
      </c>
      <c r="E50" s="373">
        <v>55175</v>
      </c>
      <c r="G50" s="333" t="s">
        <v>2582</v>
      </c>
    </row>
    <row r="51" spans="1:9">
      <c r="A51" s="338" t="s">
        <v>2557</v>
      </c>
      <c r="B51" s="339"/>
      <c r="C51" s="345">
        <v>64000</v>
      </c>
      <c r="D51" s="350" t="s">
        <v>945</v>
      </c>
      <c r="E51" s="373">
        <v>55036</v>
      </c>
      <c r="G51" s="333" t="s">
        <v>2569</v>
      </c>
    </row>
    <row r="52" spans="1:9">
      <c r="A52" s="338" t="s">
        <v>964</v>
      </c>
      <c r="B52" s="339" t="s">
        <v>965</v>
      </c>
      <c r="C52" s="345">
        <v>13001.97</v>
      </c>
      <c r="D52" s="350" t="s">
        <v>2365</v>
      </c>
      <c r="E52" s="373"/>
    </row>
    <row r="53" spans="1:9">
      <c r="A53" s="338"/>
      <c r="B53" s="339"/>
      <c r="C53" s="345"/>
      <c r="D53" s="350"/>
      <c r="E53" s="373"/>
    </row>
    <row r="54" spans="1:9">
      <c r="A54" s="402">
        <v>39508</v>
      </c>
      <c r="B54" s="341"/>
      <c r="C54" s="344"/>
      <c r="D54" s="369"/>
      <c r="E54" s="374"/>
    </row>
    <row r="55" spans="1:9">
      <c r="A55" s="338" t="s">
        <v>2575</v>
      </c>
      <c r="B55" s="339" t="s">
        <v>1024</v>
      </c>
      <c r="C55" s="345">
        <v>7735.14</v>
      </c>
      <c r="D55" s="350" t="s">
        <v>1025</v>
      </c>
      <c r="E55" s="373">
        <v>55367</v>
      </c>
    </row>
    <row r="56" spans="1:9">
      <c r="A56" s="338" t="s">
        <v>2557</v>
      </c>
      <c r="B56" s="339" t="s">
        <v>1026</v>
      </c>
      <c r="C56" s="345">
        <v>40300</v>
      </c>
      <c r="D56" s="350" t="s">
        <v>1027</v>
      </c>
      <c r="E56" s="373">
        <v>55359</v>
      </c>
      <c r="G56" s="333" t="s">
        <v>2569</v>
      </c>
    </row>
    <row r="57" spans="1:9">
      <c r="A57" s="338" t="s">
        <v>1429</v>
      </c>
      <c r="B57" s="339" t="s">
        <v>1028</v>
      </c>
      <c r="C57" s="345">
        <v>3275.68</v>
      </c>
      <c r="D57" s="350" t="s">
        <v>945</v>
      </c>
      <c r="E57" s="373">
        <v>55357</v>
      </c>
      <c r="G57" s="333" t="s">
        <v>2569</v>
      </c>
      <c r="H57" s="333" t="s">
        <v>1029</v>
      </c>
      <c r="I57" s="333" t="s">
        <v>1030</v>
      </c>
    </row>
    <row r="58" spans="1:9">
      <c r="A58" s="338" t="s">
        <v>2575</v>
      </c>
      <c r="B58" s="339" t="s">
        <v>1031</v>
      </c>
      <c r="C58" s="345">
        <v>26156.49</v>
      </c>
      <c r="D58" s="350" t="s">
        <v>1032</v>
      </c>
      <c r="E58" s="373"/>
    </row>
    <row r="59" spans="1:9">
      <c r="A59" s="346" t="s">
        <v>2575</v>
      </c>
      <c r="B59" s="347" t="s">
        <v>1033</v>
      </c>
      <c r="C59" s="348">
        <v>20405.37</v>
      </c>
      <c r="D59" s="370" t="s">
        <v>2365</v>
      </c>
      <c r="E59" s="375"/>
    </row>
    <row r="60" spans="1:9">
      <c r="A60" s="338" t="s">
        <v>2557</v>
      </c>
      <c r="B60" s="339" t="s">
        <v>1034</v>
      </c>
      <c r="C60" s="345">
        <v>5800</v>
      </c>
      <c r="D60" s="350" t="s">
        <v>3067</v>
      </c>
      <c r="E60" s="373">
        <v>55342</v>
      </c>
      <c r="G60" s="333" t="s">
        <v>2582</v>
      </c>
    </row>
    <row r="61" spans="1:9">
      <c r="A61" s="338" t="s">
        <v>55</v>
      </c>
      <c r="B61" s="339" t="s">
        <v>55</v>
      </c>
      <c r="C61" s="345" t="s">
        <v>55</v>
      </c>
      <c r="D61" s="350" t="s">
        <v>55</v>
      </c>
      <c r="E61" s="373"/>
    </row>
    <row r="62" spans="1:9">
      <c r="A62" s="402">
        <v>39539</v>
      </c>
      <c r="B62" s="339"/>
      <c r="C62" s="345"/>
      <c r="D62" s="350"/>
      <c r="E62" s="373"/>
    </row>
    <row r="63" spans="1:9">
      <c r="A63" s="338" t="s">
        <v>1035</v>
      </c>
      <c r="B63" s="338" t="s">
        <v>1036</v>
      </c>
      <c r="C63" s="345">
        <v>6941.15</v>
      </c>
      <c r="D63" s="350" t="s">
        <v>1037</v>
      </c>
      <c r="E63" s="373">
        <v>55684</v>
      </c>
    </row>
    <row r="64" spans="1:9">
      <c r="A64" s="338" t="s">
        <v>2557</v>
      </c>
      <c r="B64" s="339" t="s">
        <v>1038</v>
      </c>
      <c r="C64" s="345">
        <v>6810.02</v>
      </c>
      <c r="D64" s="350" t="s">
        <v>2365</v>
      </c>
      <c r="E64" s="373">
        <v>55689</v>
      </c>
    </row>
    <row r="65" spans="1:7">
      <c r="A65" s="338" t="s">
        <v>617</v>
      </c>
      <c r="B65" s="338" t="s">
        <v>1039</v>
      </c>
      <c r="C65" s="345">
        <v>4661.46</v>
      </c>
      <c r="D65" s="350" t="s">
        <v>2365</v>
      </c>
      <c r="E65" s="373">
        <v>55691</v>
      </c>
    </row>
    <row r="66" spans="1:7">
      <c r="A66" s="338" t="s">
        <v>1040</v>
      </c>
      <c r="B66" s="339" t="s">
        <v>2600</v>
      </c>
      <c r="C66" s="345">
        <v>4919.1899999999996</v>
      </c>
      <c r="D66" s="350" t="s">
        <v>2365</v>
      </c>
      <c r="E66" s="373">
        <v>55694</v>
      </c>
    </row>
    <row r="67" spans="1:7">
      <c r="A67" s="338" t="s">
        <v>1429</v>
      </c>
      <c r="B67" s="339" t="s">
        <v>1041</v>
      </c>
      <c r="C67" s="345">
        <v>7800.01</v>
      </c>
      <c r="D67" s="350" t="s">
        <v>946</v>
      </c>
      <c r="E67" s="373">
        <v>55400</v>
      </c>
      <c r="G67" s="333" t="s">
        <v>2569</v>
      </c>
    </row>
    <row r="68" spans="1:7">
      <c r="A68" s="338" t="s">
        <v>2557</v>
      </c>
      <c r="B68" s="339" t="s">
        <v>1042</v>
      </c>
      <c r="C68" s="345">
        <v>18500</v>
      </c>
      <c r="D68" s="350" t="s">
        <v>1043</v>
      </c>
      <c r="E68" s="373"/>
      <c r="G68" s="333" t="s">
        <v>2582</v>
      </c>
    </row>
    <row r="69" spans="1:7">
      <c r="A69" s="338" t="s">
        <v>1044</v>
      </c>
      <c r="B69" s="339" t="s">
        <v>1045</v>
      </c>
      <c r="C69" s="345">
        <v>3090</v>
      </c>
      <c r="D69" s="350" t="s">
        <v>945</v>
      </c>
      <c r="E69" s="373">
        <v>55557</v>
      </c>
      <c r="G69" s="333" t="s">
        <v>2582</v>
      </c>
    </row>
    <row r="70" spans="1:7">
      <c r="A70" s="338"/>
      <c r="B70" s="339"/>
      <c r="C70" s="345"/>
      <c r="D70" s="350"/>
      <c r="E70" s="373"/>
    </row>
    <row r="71" spans="1:7">
      <c r="A71" s="402">
        <v>39569</v>
      </c>
      <c r="B71" s="341"/>
      <c r="C71" s="344"/>
      <c r="D71" s="369"/>
      <c r="E71" s="374"/>
    </row>
    <row r="72" spans="1:7">
      <c r="A72" s="338" t="s">
        <v>1040</v>
      </c>
      <c r="B72" s="339" t="s">
        <v>1046</v>
      </c>
      <c r="C72" s="345">
        <v>5665.7</v>
      </c>
      <c r="D72" s="350" t="s">
        <v>947</v>
      </c>
      <c r="E72" s="373">
        <v>55894</v>
      </c>
    </row>
    <row r="73" spans="1:7">
      <c r="A73" s="338" t="s">
        <v>1035</v>
      </c>
      <c r="B73" s="339" t="s">
        <v>1047</v>
      </c>
      <c r="C73" s="345">
        <v>15192.8</v>
      </c>
      <c r="D73" s="334" t="s">
        <v>2365</v>
      </c>
      <c r="E73" s="373">
        <v>55903</v>
      </c>
      <c r="G73" s="333" t="s">
        <v>1048</v>
      </c>
    </row>
    <row r="74" spans="1:7">
      <c r="A74" s="338" t="s">
        <v>1035</v>
      </c>
      <c r="B74" s="339" t="s">
        <v>1047</v>
      </c>
      <c r="C74" s="345">
        <v>14198.2</v>
      </c>
      <c r="D74" s="334" t="s">
        <v>2365</v>
      </c>
      <c r="E74" s="373">
        <v>55904</v>
      </c>
      <c r="G74" s="333" t="s">
        <v>1048</v>
      </c>
    </row>
    <row r="75" spans="1:7">
      <c r="A75" s="346" t="s">
        <v>1040</v>
      </c>
      <c r="B75" s="347" t="s">
        <v>1049</v>
      </c>
      <c r="C75" s="348">
        <v>2280</v>
      </c>
      <c r="D75" s="370" t="s">
        <v>2365</v>
      </c>
      <c r="E75" s="375">
        <v>55949</v>
      </c>
    </row>
    <row r="76" spans="1:7">
      <c r="A76" s="346" t="s">
        <v>3249</v>
      </c>
      <c r="B76" s="347" t="s">
        <v>1050</v>
      </c>
      <c r="C76" s="348">
        <v>2763.36</v>
      </c>
      <c r="D76" s="370" t="s">
        <v>947</v>
      </c>
      <c r="E76" s="375">
        <v>55978</v>
      </c>
    </row>
    <row r="77" spans="1:7">
      <c r="A77" s="346" t="s">
        <v>612</v>
      </c>
      <c r="B77" s="347" t="s">
        <v>1052</v>
      </c>
      <c r="C77" s="348">
        <v>4500</v>
      </c>
      <c r="D77" s="370" t="s">
        <v>1051</v>
      </c>
      <c r="E77" s="375">
        <v>55991</v>
      </c>
      <c r="G77" s="333" t="s">
        <v>1048</v>
      </c>
    </row>
    <row r="78" spans="1:7">
      <c r="A78" s="338" t="s">
        <v>1035</v>
      </c>
      <c r="B78" s="339" t="s">
        <v>1053</v>
      </c>
      <c r="C78" s="345">
        <v>4104</v>
      </c>
      <c r="D78" s="350" t="s">
        <v>2365</v>
      </c>
      <c r="E78" s="373">
        <v>55999</v>
      </c>
    </row>
    <row r="79" spans="1:7">
      <c r="A79" s="338"/>
      <c r="B79" s="339"/>
      <c r="C79" s="345"/>
      <c r="D79" s="350"/>
      <c r="E79" s="373"/>
    </row>
    <row r="80" spans="1:7">
      <c r="A80" s="402">
        <v>39600</v>
      </c>
      <c r="B80" s="341"/>
      <c r="C80" s="342"/>
      <c r="D80" s="368"/>
      <c r="E80" s="374"/>
    </row>
    <row r="81" spans="1:7" ht="12.6" customHeight="1">
      <c r="A81" s="338" t="s">
        <v>1044</v>
      </c>
      <c r="B81" s="339" t="s">
        <v>1054</v>
      </c>
      <c r="C81" s="345">
        <v>18000</v>
      </c>
      <c r="D81" s="350" t="s">
        <v>948</v>
      </c>
      <c r="E81" s="373">
        <v>56130</v>
      </c>
      <c r="G81" s="333" t="s">
        <v>2582</v>
      </c>
    </row>
    <row r="82" spans="1:7" ht="12.6" customHeight="1">
      <c r="A82" s="338" t="s">
        <v>1044</v>
      </c>
      <c r="B82" s="339" t="s">
        <v>1055</v>
      </c>
      <c r="C82" s="345">
        <v>17000</v>
      </c>
      <c r="D82" s="350" t="s">
        <v>949</v>
      </c>
      <c r="E82" s="373">
        <v>56131</v>
      </c>
      <c r="G82" s="333" t="s">
        <v>2582</v>
      </c>
    </row>
    <row r="83" spans="1:7" ht="12.6" customHeight="1">
      <c r="A83" s="349" t="s">
        <v>1044</v>
      </c>
      <c r="B83" s="350" t="s">
        <v>1056</v>
      </c>
      <c r="C83" s="351">
        <v>16049</v>
      </c>
      <c r="D83" s="350" t="s">
        <v>947</v>
      </c>
      <c r="E83" s="373">
        <v>56100</v>
      </c>
      <c r="G83" s="333" t="s">
        <v>2582</v>
      </c>
    </row>
    <row r="84" spans="1:7" ht="12.6" customHeight="1">
      <c r="A84" s="343" t="s">
        <v>1815</v>
      </c>
      <c r="B84" s="339" t="s">
        <v>1057</v>
      </c>
      <c r="C84" s="340">
        <v>5187</v>
      </c>
      <c r="D84" s="350" t="s">
        <v>948</v>
      </c>
      <c r="E84" s="373">
        <v>56149</v>
      </c>
      <c r="G84" s="333" t="s">
        <v>2582</v>
      </c>
    </row>
    <row r="85" spans="1:7" ht="12.6" customHeight="1">
      <c r="A85" s="343" t="s">
        <v>1044</v>
      </c>
      <c r="B85" s="339" t="s">
        <v>2600</v>
      </c>
      <c r="C85" s="340">
        <v>6120.4</v>
      </c>
      <c r="D85" s="350" t="s">
        <v>947</v>
      </c>
      <c r="E85" s="373">
        <v>56154</v>
      </c>
      <c r="G85" s="333" t="s">
        <v>2582</v>
      </c>
    </row>
    <row r="86" spans="1:7" ht="12.6" customHeight="1">
      <c r="A86" s="349" t="s">
        <v>1044</v>
      </c>
      <c r="B86" s="339" t="s">
        <v>1058</v>
      </c>
      <c r="C86" s="345">
        <v>25080</v>
      </c>
      <c r="D86" s="350" t="s">
        <v>948</v>
      </c>
      <c r="E86" s="373">
        <v>56404</v>
      </c>
      <c r="G86" s="333" t="s">
        <v>2582</v>
      </c>
    </row>
    <row r="87" spans="1:7" ht="12.6" customHeight="1">
      <c r="A87" s="338" t="s">
        <v>1044</v>
      </c>
      <c r="B87" s="339" t="s">
        <v>1059</v>
      </c>
      <c r="C87" s="345">
        <v>26201.759999999998</v>
      </c>
      <c r="D87" s="350" t="s">
        <v>950</v>
      </c>
      <c r="E87" s="373">
        <v>56327</v>
      </c>
      <c r="G87" s="333" t="s">
        <v>1048</v>
      </c>
    </row>
    <row r="88" spans="1:7" ht="12.6" customHeight="1">
      <c r="A88" s="338" t="s">
        <v>1035</v>
      </c>
      <c r="B88" s="339" t="s">
        <v>1060</v>
      </c>
      <c r="C88" s="345">
        <v>2265.1799999999998</v>
      </c>
      <c r="D88" s="350" t="s">
        <v>2365</v>
      </c>
      <c r="E88" s="373">
        <v>56354</v>
      </c>
    </row>
    <row r="89" spans="1:7" ht="12.6" customHeight="1">
      <c r="A89" s="338" t="s">
        <v>1044</v>
      </c>
      <c r="B89" s="339" t="s">
        <v>1061</v>
      </c>
      <c r="C89" s="345">
        <v>24690</v>
      </c>
      <c r="D89" s="350" t="s">
        <v>948</v>
      </c>
      <c r="E89" s="373">
        <v>56389</v>
      </c>
      <c r="G89" s="333" t="s">
        <v>2582</v>
      </c>
    </row>
    <row r="90" spans="1:7">
      <c r="A90" s="352" t="s">
        <v>55</v>
      </c>
      <c r="B90" s="353" t="s">
        <v>55</v>
      </c>
      <c r="C90" s="354" t="s">
        <v>55</v>
      </c>
      <c r="D90" s="371" t="s">
        <v>55</v>
      </c>
      <c r="E90" s="376"/>
    </row>
    <row r="91" spans="1:7">
      <c r="C91" s="403">
        <f>SUM(C7:C90)</f>
        <v>1096690.5699999998</v>
      </c>
    </row>
    <row r="92" spans="1:7" ht="15">
      <c r="A92" s="355"/>
      <c r="B92" s="355"/>
      <c r="C92" s="355"/>
      <c r="D92" s="355"/>
      <c r="E92" s="378"/>
    </row>
    <row r="93" spans="1:7" ht="15">
      <c r="A93" s="355"/>
      <c r="B93" s="355"/>
      <c r="C93" s="355"/>
      <c r="D93" s="355"/>
      <c r="E93" s="378"/>
    </row>
    <row r="94" spans="1:7" ht="15">
      <c r="A94" s="355"/>
      <c r="B94" s="355"/>
      <c r="C94" s="355"/>
      <c r="D94" s="355"/>
      <c r="E94" s="378"/>
    </row>
    <row r="95" spans="1:7" ht="15">
      <c r="A95" s="355"/>
      <c r="B95" s="355"/>
      <c r="C95" s="355"/>
      <c r="D95" s="355"/>
      <c r="E95" s="378"/>
    </row>
    <row r="96" spans="1:7" ht="15">
      <c r="A96" s="355"/>
      <c r="B96" s="355"/>
      <c r="C96" s="355"/>
      <c r="D96" s="355"/>
      <c r="E96" s="378"/>
    </row>
    <row r="97" spans="1:5" ht="15">
      <c r="A97" s="355"/>
      <c r="B97" s="355"/>
      <c r="C97" s="355"/>
      <c r="D97" s="355"/>
      <c r="E97" s="378"/>
    </row>
    <row r="98" spans="1:5" ht="15">
      <c r="A98" s="355"/>
      <c r="B98" s="355"/>
      <c r="C98" s="355"/>
      <c r="D98" s="355"/>
      <c r="E98" s="378"/>
    </row>
    <row r="99" spans="1:5" ht="15">
      <c r="A99" s="355"/>
      <c r="B99" s="355"/>
      <c r="C99" s="355"/>
      <c r="D99" s="355"/>
      <c r="E99" s="378"/>
    </row>
    <row r="100" spans="1:5" ht="15">
      <c r="A100" s="355"/>
      <c r="B100" s="355"/>
      <c r="C100" s="355"/>
      <c r="D100" s="355"/>
      <c r="E100" s="378"/>
    </row>
    <row r="101" spans="1:5" ht="15">
      <c r="A101" s="355"/>
      <c r="B101" s="355"/>
      <c r="C101" s="355"/>
      <c r="D101" s="355"/>
      <c r="E101" s="378"/>
    </row>
    <row r="102" spans="1:5" ht="15">
      <c r="A102" s="355"/>
      <c r="B102" s="355"/>
      <c r="C102" s="355"/>
      <c r="D102" s="355"/>
      <c r="E102" s="378"/>
    </row>
    <row r="103" spans="1:5" ht="15">
      <c r="A103" s="355"/>
      <c r="B103" s="355"/>
      <c r="C103" s="355"/>
      <c r="D103" s="355"/>
      <c r="E103" s="378"/>
    </row>
    <row r="104" spans="1:5" ht="15">
      <c r="A104" s="355"/>
      <c r="B104" s="355"/>
      <c r="C104" s="355"/>
      <c r="D104" s="355"/>
      <c r="E104" s="378"/>
    </row>
    <row r="105" spans="1:5" ht="15">
      <c r="A105" s="355"/>
      <c r="B105" s="355"/>
      <c r="C105" s="355"/>
      <c r="D105" s="355"/>
      <c r="E105" s="378"/>
    </row>
    <row r="106" spans="1:5" ht="15">
      <c r="A106" s="355"/>
      <c r="B106" s="355"/>
      <c r="C106" s="355"/>
      <c r="D106" s="355"/>
      <c r="E106" s="378"/>
    </row>
    <row r="107" spans="1:5" ht="15">
      <c r="A107" s="355"/>
      <c r="B107" s="355"/>
      <c r="C107" s="355"/>
      <c r="D107" s="355"/>
      <c r="E107" s="378"/>
    </row>
    <row r="108" spans="1:5" ht="15">
      <c r="A108" s="355"/>
      <c r="B108" s="355"/>
      <c r="C108" s="355"/>
      <c r="D108" s="355"/>
      <c r="E108" s="378"/>
    </row>
    <row r="109" spans="1:5" ht="15">
      <c r="A109" s="355"/>
      <c r="B109" s="355"/>
      <c r="C109" s="355"/>
      <c r="D109" s="355"/>
      <c r="E109" s="378"/>
    </row>
    <row r="110" spans="1:5" ht="15">
      <c r="A110" s="355"/>
      <c r="B110" s="355"/>
      <c r="C110" s="355"/>
      <c r="D110" s="355"/>
      <c r="E110" s="378"/>
    </row>
    <row r="111" spans="1:5" ht="15">
      <c r="A111" s="355"/>
      <c r="B111" s="355"/>
      <c r="C111" s="355"/>
      <c r="D111" s="355"/>
      <c r="E111" s="378"/>
    </row>
    <row r="112" spans="1:5" ht="15">
      <c r="A112" s="355"/>
      <c r="B112" s="355"/>
      <c r="C112" s="355"/>
      <c r="D112" s="355"/>
      <c r="E112" s="378"/>
    </row>
    <row r="113" spans="1:5" ht="15">
      <c r="A113" s="355"/>
      <c r="B113" s="355"/>
      <c r="C113" s="355"/>
      <c r="D113" s="355"/>
      <c r="E113" s="378"/>
    </row>
    <row r="114" spans="1:5" ht="15">
      <c r="A114" s="355"/>
      <c r="B114" s="355"/>
      <c r="C114" s="355"/>
      <c r="D114" s="355"/>
      <c r="E114" s="378"/>
    </row>
    <row r="115" spans="1:5" ht="15">
      <c r="A115" s="355"/>
      <c r="B115" s="355"/>
      <c r="C115" s="355"/>
      <c r="D115" s="355"/>
      <c r="E115" s="378"/>
    </row>
    <row r="116" spans="1:5" ht="15">
      <c r="A116" s="355"/>
      <c r="B116" s="355"/>
      <c r="C116" s="355"/>
      <c r="D116" s="355"/>
      <c r="E116" s="378"/>
    </row>
    <row r="117" spans="1:5" ht="15">
      <c r="A117" s="355"/>
      <c r="B117" s="355"/>
      <c r="C117" s="355"/>
      <c r="D117" s="355"/>
      <c r="E117" s="378"/>
    </row>
    <row r="118" spans="1:5" ht="15">
      <c r="A118" s="355"/>
      <c r="B118" s="355"/>
      <c r="C118" s="355"/>
      <c r="D118" s="355"/>
      <c r="E118" s="378"/>
    </row>
    <row r="119" spans="1:5" ht="15">
      <c r="A119" s="355"/>
      <c r="B119" s="355"/>
      <c r="C119" s="355"/>
      <c r="D119" s="355"/>
      <c r="E119" s="378"/>
    </row>
    <row r="120" spans="1:5" ht="15">
      <c r="A120" s="355"/>
      <c r="B120" s="355"/>
      <c r="C120" s="355"/>
      <c r="D120" s="355"/>
      <c r="E120" s="378"/>
    </row>
    <row r="121" spans="1:5" ht="15">
      <c r="A121" s="355"/>
      <c r="B121" s="355"/>
      <c r="C121" s="355"/>
      <c r="D121" s="355"/>
      <c r="E121" s="378"/>
    </row>
    <row r="122" spans="1:5" ht="15">
      <c r="A122" s="355"/>
      <c r="B122" s="355"/>
      <c r="C122" s="355"/>
      <c r="D122" s="355"/>
      <c r="E122" s="378"/>
    </row>
    <row r="123" spans="1:5" ht="15">
      <c r="A123" s="355"/>
      <c r="B123" s="355"/>
      <c r="C123" s="355"/>
      <c r="D123" s="355"/>
      <c r="E123" s="378"/>
    </row>
    <row r="124" spans="1:5" ht="15">
      <c r="A124" s="355"/>
      <c r="B124" s="355"/>
      <c r="C124" s="355"/>
      <c r="D124" s="355"/>
      <c r="E124" s="378"/>
    </row>
    <row r="125" spans="1:5" ht="15">
      <c r="A125" s="355"/>
      <c r="B125" s="355"/>
      <c r="C125" s="355"/>
      <c r="D125" s="355"/>
      <c r="E125" s="378"/>
    </row>
    <row r="126" spans="1:5" ht="15">
      <c r="A126" s="355"/>
      <c r="B126" s="355"/>
      <c r="C126" s="355"/>
      <c r="D126" s="355"/>
      <c r="E126" s="378"/>
    </row>
    <row r="127" spans="1:5" ht="15">
      <c r="A127" s="355"/>
      <c r="B127" s="355"/>
      <c r="C127" s="355"/>
      <c r="D127" s="355"/>
      <c r="E127" s="378"/>
    </row>
    <row r="128" spans="1:5" ht="15">
      <c r="A128" s="355"/>
      <c r="B128" s="355"/>
      <c r="C128" s="355"/>
      <c r="D128" s="355"/>
      <c r="E128" s="378"/>
    </row>
    <row r="129" spans="1:5" ht="15">
      <c r="A129" s="355"/>
      <c r="B129" s="355"/>
      <c r="C129" s="355"/>
      <c r="D129" s="355"/>
      <c r="E129" s="378"/>
    </row>
    <row r="130" spans="1:5" ht="15">
      <c r="A130" s="355"/>
      <c r="B130" s="355"/>
      <c r="C130" s="355"/>
      <c r="D130" s="355"/>
      <c r="E130" s="378"/>
    </row>
    <row r="131" spans="1:5" ht="15">
      <c r="A131" s="355"/>
      <c r="B131" s="355"/>
      <c r="C131" s="355"/>
      <c r="D131" s="355"/>
      <c r="E131" s="378"/>
    </row>
    <row r="132" spans="1:5" ht="15">
      <c r="A132" s="355"/>
      <c r="B132" s="355"/>
      <c r="C132" s="355"/>
      <c r="D132" s="355"/>
      <c r="E132" s="378"/>
    </row>
    <row r="133" spans="1:5" ht="15">
      <c r="A133" s="355"/>
      <c r="B133" s="355"/>
      <c r="C133" s="355"/>
      <c r="D133" s="355"/>
      <c r="E133" s="378"/>
    </row>
    <row r="134" spans="1:5" ht="15">
      <c r="A134" s="355"/>
      <c r="B134" s="355"/>
      <c r="C134" s="355"/>
      <c r="D134" s="355"/>
      <c r="E134" s="378"/>
    </row>
    <row r="135" spans="1:5" ht="15">
      <c r="A135" s="355"/>
      <c r="B135" s="355"/>
      <c r="C135" s="355"/>
      <c r="D135" s="355"/>
      <c r="E135" s="378"/>
    </row>
    <row r="136" spans="1:5" ht="15">
      <c r="A136" s="355"/>
      <c r="B136" s="355"/>
      <c r="C136" s="355"/>
      <c r="D136" s="355"/>
      <c r="E136" s="378"/>
    </row>
    <row r="137" spans="1:5" ht="15">
      <c r="A137" s="355"/>
      <c r="B137" s="355"/>
      <c r="C137" s="355"/>
      <c r="D137" s="355"/>
      <c r="E137" s="378"/>
    </row>
    <row r="138" spans="1:5" ht="15">
      <c r="A138" s="355"/>
      <c r="B138" s="355"/>
      <c r="C138" s="355"/>
      <c r="D138" s="355"/>
      <c r="E138" s="378"/>
    </row>
    <row r="139" spans="1:5" ht="15">
      <c r="A139" s="355"/>
      <c r="B139" s="355"/>
      <c r="C139" s="355"/>
      <c r="D139" s="355"/>
      <c r="E139" s="378"/>
    </row>
    <row r="140" spans="1:5" ht="15">
      <c r="A140" s="355"/>
      <c r="B140" s="355"/>
      <c r="C140" s="355"/>
      <c r="D140" s="355"/>
      <c r="E140" s="378"/>
    </row>
    <row r="141" spans="1:5" ht="15">
      <c r="A141" s="355"/>
      <c r="B141" s="355"/>
      <c r="C141" s="355"/>
      <c r="D141" s="355"/>
      <c r="E141" s="378"/>
    </row>
    <row r="142" spans="1:5" ht="15">
      <c r="A142" s="355"/>
      <c r="B142" s="355"/>
      <c r="C142" s="355"/>
      <c r="D142" s="355"/>
      <c r="E142" s="378"/>
    </row>
    <row r="143" spans="1:5" ht="15">
      <c r="A143" s="355"/>
      <c r="B143" s="355"/>
      <c r="C143" s="355"/>
      <c r="D143" s="355"/>
      <c r="E143" s="378"/>
    </row>
    <row r="144" spans="1:5" ht="15">
      <c r="A144" s="355"/>
      <c r="B144" s="355"/>
      <c r="C144" s="355"/>
      <c r="D144" s="355"/>
      <c r="E144" s="378"/>
    </row>
    <row r="145" spans="1:5" ht="15">
      <c r="A145" s="355"/>
      <c r="B145" s="355"/>
      <c r="C145" s="355"/>
      <c r="D145" s="355"/>
      <c r="E145" s="378"/>
    </row>
    <row r="146" spans="1:5" ht="15">
      <c r="A146" s="355"/>
      <c r="B146" s="355"/>
      <c r="C146" s="355"/>
      <c r="D146" s="355"/>
      <c r="E146" s="378"/>
    </row>
    <row r="147" spans="1:5" ht="15">
      <c r="A147" s="355"/>
      <c r="B147" s="355"/>
      <c r="C147" s="355"/>
      <c r="D147" s="355"/>
      <c r="E147" s="378"/>
    </row>
    <row r="148" spans="1:5" ht="15">
      <c r="A148" s="355"/>
      <c r="B148" s="355"/>
      <c r="C148" s="355"/>
      <c r="D148" s="355"/>
      <c r="E148" s="378"/>
    </row>
    <row r="149" spans="1:5" ht="15">
      <c r="A149" s="355"/>
      <c r="B149" s="355"/>
      <c r="C149" s="355"/>
      <c r="D149" s="355"/>
      <c r="E149" s="378"/>
    </row>
    <row r="150" spans="1:5" ht="15">
      <c r="A150" s="355"/>
      <c r="B150" s="355"/>
      <c r="C150" s="355"/>
      <c r="D150" s="355"/>
      <c r="E150" s="378"/>
    </row>
    <row r="151" spans="1:5" ht="15">
      <c r="A151" s="355"/>
      <c r="B151" s="355"/>
      <c r="C151" s="355"/>
      <c r="D151" s="355"/>
      <c r="E151" s="378"/>
    </row>
    <row r="152" spans="1:5" ht="15">
      <c r="A152" s="355"/>
      <c r="B152" s="355"/>
      <c r="C152" s="355"/>
      <c r="D152" s="355"/>
      <c r="E152" s="378"/>
    </row>
    <row r="153" spans="1:5" ht="15">
      <c r="A153" s="355"/>
      <c r="B153" s="355"/>
      <c r="C153" s="355"/>
      <c r="D153" s="355"/>
      <c r="E153" s="378"/>
    </row>
    <row r="154" spans="1:5" ht="15">
      <c r="A154" s="355"/>
      <c r="B154" s="355"/>
      <c r="C154" s="355"/>
      <c r="D154" s="355"/>
      <c r="E154" s="378"/>
    </row>
    <row r="155" spans="1:5" ht="15">
      <c r="A155" s="355"/>
      <c r="B155" s="355"/>
      <c r="C155" s="355"/>
      <c r="D155" s="355"/>
      <c r="E155" s="378"/>
    </row>
    <row r="156" spans="1:5" ht="15">
      <c r="A156" s="355"/>
      <c r="B156" s="355"/>
      <c r="C156" s="355"/>
      <c r="D156" s="355"/>
      <c r="E156" s="378"/>
    </row>
    <row r="157" spans="1:5" ht="15">
      <c r="A157" s="355"/>
      <c r="B157" s="355"/>
      <c r="C157" s="355"/>
      <c r="D157" s="355"/>
      <c r="E157" s="378"/>
    </row>
    <row r="158" spans="1:5" ht="15">
      <c r="A158" s="355"/>
      <c r="B158" s="355"/>
      <c r="C158" s="355"/>
      <c r="D158" s="355"/>
      <c r="E158" s="378"/>
    </row>
    <row r="159" spans="1:5" ht="15">
      <c r="A159" s="355"/>
      <c r="B159" s="355"/>
      <c r="C159" s="355"/>
      <c r="D159" s="355"/>
      <c r="E159" s="378"/>
    </row>
    <row r="160" spans="1:5" ht="15">
      <c r="A160" s="355"/>
      <c r="B160" s="355"/>
      <c r="C160" s="355"/>
      <c r="D160" s="355"/>
      <c r="E160" s="378"/>
    </row>
    <row r="161" spans="1:5" ht="15">
      <c r="A161" s="355"/>
      <c r="B161" s="355"/>
      <c r="C161" s="355"/>
      <c r="D161" s="355"/>
      <c r="E161" s="378"/>
    </row>
    <row r="162" spans="1:5" ht="15">
      <c r="A162" s="355"/>
      <c r="B162" s="355"/>
      <c r="C162" s="355"/>
      <c r="D162" s="355"/>
      <c r="E162" s="378"/>
    </row>
    <row r="163" spans="1:5" ht="15">
      <c r="A163" s="355"/>
      <c r="B163" s="355"/>
      <c r="C163" s="355"/>
      <c r="D163" s="355"/>
      <c r="E163" s="378"/>
    </row>
    <row r="164" spans="1:5" ht="15">
      <c r="A164" s="355"/>
      <c r="B164" s="355"/>
      <c r="C164" s="355"/>
      <c r="D164" s="355"/>
      <c r="E164" s="378"/>
    </row>
  </sheetData>
  <mergeCells count="5">
    <mergeCell ref="A5:D5"/>
    <mergeCell ref="A1:E1"/>
    <mergeCell ref="A2:E2"/>
    <mergeCell ref="A3:E3"/>
    <mergeCell ref="A4:E4"/>
  </mergeCells>
  <phoneticPr fontId="0" type="noConversion"/>
  <printOptions horizontalCentered="1"/>
  <pageMargins left="0.6692913385826772" right="0.39370078740157483" top="0.98425196850393704" bottom="0.98425196850393704" header="0.51181102362204722" footer="0.51181102362204722"/>
  <pageSetup scale="56" orientation="portrait" r:id="rId1"/>
  <headerFooter>
    <oddHeader>&amp;C FINANCIAL STATEMENTS: MUSINA LOCAL MUNICIPALITY</oddHeader>
    <oddFooter>&amp;RPage &amp;P</oddFooter>
  </headerFooter>
</worksheet>
</file>

<file path=xl/worksheets/sheet28.xml><?xml version="1.0" encoding="utf-8"?>
<worksheet xmlns="http://schemas.openxmlformats.org/spreadsheetml/2006/main" xmlns:r="http://schemas.openxmlformats.org/officeDocument/2006/relationships">
  <dimension ref="A1:E72"/>
  <sheetViews>
    <sheetView workbookViewId="0">
      <selection activeCell="A37" sqref="A37:A57"/>
    </sheetView>
  </sheetViews>
  <sheetFormatPr defaultRowHeight="11.25"/>
  <cols>
    <col min="1" max="1" width="34.85546875" style="246" bestFit="1" customWidth="1"/>
    <col min="2" max="2" width="10.7109375" style="245" bestFit="1" customWidth="1"/>
    <col min="3" max="3" width="9.28515625" style="249" bestFit="1" customWidth="1"/>
    <col min="4" max="4" width="10.5703125" style="249" bestFit="1" customWidth="1"/>
    <col min="5" max="5" width="15.5703125" style="249" bestFit="1" customWidth="1"/>
    <col min="6" max="16384" width="9.140625" style="246"/>
  </cols>
  <sheetData>
    <row r="1" spans="1:5">
      <c r="A1" s="244" t="s">
        <v>2196</v>
      </c>
    </row>
    <row r="3" spans="1:5">
      <c r="A3" s="246" t="str">
        <f>'Statement of Financial Performa'!C49</f>
        <v>NET SURPLUS/(DEFICIT) FOR THE YEAR</v>
      </c>
      <c r="B3" s="245">
        <f>'Statement of Financial Performa'!F49</f>
        <v>10925289.24000001</v>
      </c>
      <c r="C3" s="250">
        <f>B3/1000000</f>
        <v>10.92528924000001</v>
      </c>
      <c r="E3" s="251">
        <f>C3</f>
        <v>10.92528924000001</v>
      </c>
    </row>
    <row r="4" spans="1:5">
      <c r="A4" s="246" t="s">
        <v>3371</v>
      </c>
      <c r="C4" s="250">
        <f>B4/1000000</f>
        <v>0</v>
      </c>
      <c r="E4" s="251">
        <f>C4</f>
        <v>0</v>
      </c>
    </row>
    <row r="5" spans="1:5">
      <c r="E5" s="251"/>
    </row>
    <row r="6" spans="1:5">
      <c r="A6" s="246" t="str">
        <f>'Statement of Financial Performa'!C27</f>
        <v>Total Revenue</v>
      </c>
      <c r="B6" s="245">
        <f>'Statement of Financial Performa'!F27</f>
        <v>74277838.430000007</v>
      </c>
      <c r="C6" s="250">
        <f>B6/1000000</f>
        <v>74.277838430000003</v>
      </c>
      <c r="D6" s="249" t="s">
        <v>3374</v>
      </c>
      <c r="E6" s="252">
        <f>C6</f>
        <v>74.277838430000003</v>
      </c>
    </row>
    <row r="7" spans="1:5">
      <c r="B7" s="245">
        <f>'Statement of Financial Performa'!H27</f>
        <v>54599641.520000003</v>
      </c>
      <c r="C7" s="250">
        <f>B7/1000000</f>
        <v>54.599641520000006</v>
      </c>
      <c r="D7" s="249" t="s">
        <v>3375</v>
      </c>
      <c r="E7" s="252">
        <f>C7</f>
        <v>54.599641520000006</v>
      </c>
    </row>
    <row r="8" spans="1:5">
      <c r="A8" s="246" t="s">
        <v>3376</v>
      </c>
      <c r="B8" s="247">
        <f>(B6-B7)/B7</f>
        <v>0.36040890310226348</v>
      </c>
      <c r="C8" s="253">
        <f>B8</f>
        <v>0.36040890310226348</v>
      </c>
      <c r="E8" s="251"/>
    </row>
    <row r="9" spans="1:5">
      <c r="E9" s="251"/>
    </row>
    <row r="10" spans="1:5">
      <c r="A10" s="246" t="s">
        <v>3165</v>
      </c>
      <c r="B10" s="245">
        <f>'Statement of Financial Performa'!F22</f>
        <v>12943512</v>
      </c>
      <c r="C10" s="250">
        <f>B10/1000000</f>
        <v>12.943512</v>
      </c>
      <c r="D10" s="249" t="s">
        <v>3374</v>
      </c>
      <c r="E10" s="252">
        <f>C10</f>
        <v>12.943512</v>
      </c>
    </row>
    <row r="11" spans="1:5">
      <c r="A11" s="246" t="s">
        <v>3165</v>
      </c>
      <c r="B11" s="245">
        <f>'Statement of Financial Performa'!H22</f>
        <v>9845128</v>
      </c>
      <c r="C11" s="250">
        <f>B11/1000000</f>
        <v>9.8451280000000008</v>
      </c>
      <c r="D11" s="249" t="s">
        <v>3375</v>
      </c>
      <c r="E11" s="252">
        <f>C11</f>
        <v>9.8451280000000008</v>
      </c>
    </row>
    <row r="12" spans="1:5">
      <c r="C12" s="250"/>
      <c r="E12" s="251"/>
    </row>
    <row r="13" spans="1:5">
      <c r="A13" s="246" t="s">
        <v>3172</v>
      </c>
      <c r="B13" s="245">
        <f>'Statement of Financial Performa'!F23</f>
        <v>2043290.17</v>
      </c>
      <c r="C13" s="250">
        <f>B13/1000000</f>
        <v>2.0432901700000001</v>
      </c>
      <c r="D13" s="249" t="s">
        <v>3374</v>
      </c>
      <c r="E13" s="251">
        <f>C13</f>
        <v>2.0432901700000001</v>
      </c>
    </row>
    <row r="14" spans="1:5">
      <c r="A14" s="246" t="s">
        <v>3378</v>
      </c>
      <c r="B14" s="245">
        <f>'Statement of Financial Performa'!F24</f>
        <v>0</v>
      </c>
      <c r="C14" s="250">
        <f>B14/1000000</f>
        <v>0</v>
      </c>
      <c r="D14" s="249" t="s">
        <v>3374</v>
      </c>
      <c r="E14" s="251">
        <f>C14</f>
        <v>0</v>
      </c>
    </row>
    <row r="15" spans="1:5">
      <c r="A15" s="246" t="s">
        <v>3377</v>
      </c>
      <c r="B15" s="248">
        <f>SUM(B13:B14)</f>
        <v>2043290.17</v>
      </c>
      <c r="C15" s="250">
        <f>B15/1000000</f>
        <v>2.0432901700000001</v>
      </c>
      <c r="D15" s="249" t="s">
        <v>3374</v>
      </c>
      <c r="E15" s="252">
        <f>C15</f>
        <v>2.0432901700000001</v>
      </c>
    </row>
    <row r="16" spans="1:5">
      <c r="E16" s="251"/>
    </row>
    <row r="17" spans="1:5">
      <c r="A17" s="246" t="s">
        <v>3377</v>
      </c>
      <c r="B17" s="248">
        <f>'Statement of Financial Performa'!H23+'Statement of Financial Performa'!H24</f>
        <v>9783123.7699999996</v>
      </c>
      <c r="C17" s="250">
        <f>B17/1000000</f>
        <v>9.7831237699999996</v>
      </c>
      <c r="D17" s="249" t="s">
        <v>3375</v>
      </c>
      <c r="E17" s="252">
        <f>C17</f>
        <v>9.7831237699999996</v>
      </c>
    </row>
    <row r="18" spans="1:5">
      <c r="E18" s="251"/>
    </row>
    <row r="19" spans="1:5">
      <c r="A19" s="246" t="s">
        <v>3379</v>
      </c>
      <c r="B19" s="245">
        <f>'Statement of Financial Performa'!F12+'Statement of Financial Performa'!F13+'Statement of Financial Performa'!F14+'Statement of Financial Performa'!F15</f>
        <v>24668399.689999998</v>
      </c>
      <c r="C19" s="254">
        <f>B19/B20</f>
        <v>0.33210982187167015</v>
      </c>
      <c r="E19" s="251"/>
    </row>
    <row r="20" spans="1:5">
      <c r="B20" s="245">
        <f>B6</f>
        <v>74277838.430000007</v>
      </c>
      <c r="E20" s="251"/>
    </row>
    <row r="21" spans="1:5">
      <c r="E21" s="251"/>
    </row>
    <row r="22" spans="1:5">
      <c r="A22" s="246" t="s">
        <v>3380</v>
      </c>
      <c r="B22" s="245">
        <f>'Statement of Financial Performa'!F10</f>
        <v>6838330.1700000009</v>
      </c>
      <c r="C22" s="254">
        <f>B22/B23</f>
        <v>9.206420534766227E-2</v>
      </c>
      <c r="E22" s="251"/>
    </row>
    <row r="23" spans="1:5">
      <c r="B23" s="245">
        <f>B6</f>
        <v>74277838.430000007</v>
      </c>
      <c r="E23" s="251"/>
    </row>
    <row r="24" spans="1:5">
      <c r="E24" s="251"/>
    </row>
    <row r="25" spans="1:5">
      <c r="A25" s="246" t="s">
        <v>3381</v>
      </c>
      <c r="B25" s="245">
        <f>'Statement of Financial Performa'!F44</f>
        <v>63352549.189999998</v>
      </c>
      <c r="C25" s="250">
        <f>B25/1000000</f>
        <v>63.352549189999998</v>
      </c>
      <c r="D25" s="249" t="s">
        <v>3374</v>
      </c>
      <c r="E25" s="252">
        <f>C25</f>
        <v>63.352549189999998</v>
      </c>
    </row>
    <row r="26" spans="1:5">
      <c r="B26" s="245">
        <f>'Statement of Financial Performa'!H44</f>
        <v>63686051.879999995</v>
      </c>
      <c r="C26" s="250">
        <f>B26/1000000</f>
        <v>63.686051879999994</v>
      </c>
      <c r="D26" s="249" t="s">
        <v>3375</v>
      </c>
      <c r="E26" s="252">
        <f>C26</f>
        <v>63.686051879999994</v>
      </c>
    </row>
    <row r="27" spans="1:5">
      <c r="A27" s="246" t="s">
        <v>3376</v>
      </c>
      <c r="B27" s="247">
        <f>(B25-B26)/B26</f>
        <v>-5.2366676871161326E-3</v>
      </c>
      <c r="C27" s="255">
        <f>B27</f>
        <v>-5.2366676871161326E-3</v>
      </c>
      <c r="E27" s="251"/>
    </row>
    <row r="28" spans="1:5">
      <c r="E28" s="251"/>
    </row>
    <row r="29" spans="1:5">
      <c r="A29" s="246" t="s">
        <v>3382</v>
      </c>
      <c r="B29" s="245">
        <f>'Statement of Financial Performa'!F31</f>
        <v>20331605.729999997</v>
      </c>
      <c r="C29" s="250">
        <f>B29/1000000</f>
        <v>20.331605729999996</v>
      </c>
      <c r="D29" s="249" t="s">
        <v>3374</v>
      </c>
      <c r="E29" s="252">
        <f>C29</f>
        <v>20.331605729999996</v>
      </c>
    </row>
    <row r="30" spans="1:5">
      <c r="B30" s="245">
        <f>B25</f>
        <v>63352549.189999998</v>
      </c>
      <c r="C30" s="250">
        <f>B30/1000000</f>
        <v>63.352549189999998</v>
      </c>
      <c r="D30" s="249" t="s">
        <v>3374</v>
      </c>
      <c r="E30" s="252">
        <f>C30</f>
        <v>63.352549189999998</v>
      </c>
    </row>
    <row r="31" spans="1:5">
      <c r="B31" s="247">
        <f>B29/B30</f>
        <v>0.3209279814301344</v>
      </c>
      <c r="E31" s="251"/>
    </row>
    <row r="32" spans="1:5">
      <c r="E32" s="251"/>
    </row>
    <row r="33" spans="1:5">
      <c r="A33" s="246" t="s">
        <v>917</v>
      </c>
      <c r="B33" s="245">
        <f>'Statement of Financial Performa'!F39+'Statement of Financial Performa'!F40</f>
        <v>12752281.619999999</v>
      </c>
      <c r="C33" s="250">
        <f>B33/1000000</f>
        <v>12.75228162</v>
      </c>
      <c r="D33" s="249" t="s">
        <v>3374</v>
      </c>
      <c r="E33" s="252">
        <f>C33</f>
        <v>12.75228162</v>
      </c>
    </row>
    <row r="34" spans="1:5">
      <c r="B34" s="245">
        <f>B25</f>
        <v>63352549.189999998</v>
      </c>
      <c r="C34" s="250">
        <f>B34/1000000</f>
        <v>63.352549189999998</v>
      </c>
      <c r="D34" s="249" t="s">
        <v>3374</v>
      </c>
      <c r="E34" s="252">
        <f>C34</f>
        <v>63.352549189999998</v>
      </c>
    </row>
    <row r="35" spans="1:5">
      <c r="B35" s="247">
        <f>B33/B34</f>
        <v>0.20129074177827885</v>
      </c>
      <c r="E35" s="251"/>
    </row>
    <row r="36" spans="1:5">
      <c r="E36" s="251"/>
    </row>
    <row r="37" spans="1:5">
      <c r="A37" s="246" t="s">
        <v>3383</v>
      </c>
      <c r="B37" s="245">
        <f>'Statement of Financial Performa'!F36</f>
        <v>2806528.21</v>
      </c>
      <c r="C37" s="250">
        <f>B37/1000000</f>
        <v>2.8065282099999997</v>
      </c>
      <c r="D37" s="249" t="s">
        <v>3374</v>
      </c>
      <c r="E37" s="252">
        <f>C37</f>
        <v>2.8065282099999997</v>
      </c>
    </row>
    <row r="38" spans="1:5">
      <c r="B38" s="245">
        <f>B25</f>
        <v>63352549.189999998</v>
      </c>
      <c r="C38" s="250">
        <f>B38/1000000</f>
        <v>63.352549189999998</v>
      </c>
      <c r="D38" s="249" t="s">
        <v>3374</v>
      </c>
      <c r="E38" s="252">
        <f>C38</f>
        <v>63.352549189999998</v>
      </c>
    </row>
    <row r="39" spans="1:5">
      <c r="B39" s="247">
        <f>B37/B38</f>
        <v>4.430016228049434E-2</v>
      </c>
      <c r="E39" s="251"/>
    </row>
    <row r="40" spans="1:5">
      <c r="E40" s="251"/>
    </row>
    <row r="41" spans="1:5">
      <c r="E41" s="251"/>
    </row>
    <row r="42" spans="1:5">
      <c r="A42" s="246" t="s">
        <v>3384</v>
      </c>
      <c r="B42" s="245">
        <f>'Graphs - Linked '!B58</f>
        <v>0</v>
      </c>
      <c r="C42" s="250">
        <f>B42/1000000</f>
        <v>0</v>
      </c>
      <c r="D42" s="249" t="s">
        <v>3374</v>
      </c>
      <c r="E42" s="252">
        <f>C42</f>
        <v>0</v>
      </c>
    </row>
    <row r="43" spans="1:5">
      <c r="E43" s="251"/>
    </row>
    <row r="44" spans="1:5">
      <c r="E44" s="251"/>
    </row>
    <row r="45" spans="1:5">
      <c r="E45" s="251"/>
    </row>
    <row r="46" spans="1:5">
      <c r="E46" s="251"/>
    </row>
    <row r="47" spans="1:5">
      <c r="E47" s="251"/>
    </row>
    <row r="48" spans="1:5">
      <c r="E48" s="251"/>
    </row>
    <row r="49" spans="5:5">
      <c r="E49" s="251"/>
    </row>
    <row r="50" spans="5:5">
      <c r="E50" s="251"/>
    </row>
    <row r="51" spans="5:5">
      <c r="E51" s="251"/>
    </row>
    <row r="52" spans="5:5">
      <c r="E52" s="251"/>
    </row>
    <row r="53" spans="5:5">
      <c r="E53" s="251"/>
    </row>
    <row r="54" spans="5:5">
      <c r="E54" s="251"/>
    </row>
    <row r="55" spans="5:5">
      <c r="E55" s="251"/>
    </row>
    <row r="56" spans="5:5">
      <c r="E56" s="251"/>
    </row>
    <row r="57" spans="5:5">
      <c r="E57" s="251"/>
    </row>
    <row r="58" spans="5:5">
      <c r="E58" s="251"/>
    </row>
    <row r="59" spans="5:5">
      <c r="E59" s="251"/>
    </row>
    <row r="60" spans="5:5">
      <c r="E60" s="251"/>
    </row>
    <row r="61" spans="5:5">
      <c r="E61" s="251"/>
    </row>
    <row r="62" spans="5:5">
      <c r="E62" s="251"/>
    </row>
    <row r="63" spans="5:5">
      <c r="E63" s="251"/>
    </row>
    <row r="64" spans="5:5">
      <c r="E64" s="251"/>
    </row>
    <row r="65" spans="5:5">
      <c r="E65" s="251"/>
    </row>
    <row r="66" spans="5:5">
      <c r="E66" s="251"/>
    </row>
    <row r="67" spans="5:5">
      <c r="E67" s="251"/>
    </row>
    <row r="68" spans="5:5">
      <c r="E68" s="251"/>
    </row>
    <row r="69" spans="5:5">
      <c r="E69" s="251"/>
    </row>
    <row r="70" spans="5:5">
      <c r="E70" s="251"/>
    </row>
    <row r="71" spans="5:5">
      <c r="E71" s="251"/>
    </row>
    <row r="72" spans="5:5">
      <c r="E72" s="251"/>
    </row>
  </sheetData>
  <phoneticPr fontId="0" type="noConversion"/>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dimension ref="B1:G34"/>
  <sheetViews>
    <sheetView showGridLines="0" workbookViewId="0">
      <selection activeCell="A37" sqref="A37:A57"/>
    </sheetView>
  </sheetViews>
  <sheetFormatPr defaultRowHeight="14.25"/>
  <cols>
    <col min="1" max="1" width="3.42578125" style="67" customWidth="1"/>
    <col min="2" max="2" width="3.85546875" style="67" customWidth="1"/>
    <col min="3" max="3" width="7.7109375" style="67" customWidth="1"/>
    <col min="4" max="4" width="47.140625" style="93" bestFit="1" customWidth="1"/>
    <col min="5" max="5" width="3" style="65" bestFit="1" customWidth="1"/>
    <col min="6" max="6" width="14.7109375" style="94" bestFit="1" customWidth="1"/>
    <col min="7" max="7" width="14" style="67" bestFit="1" customWidth="1"/>
    <col min="8" max="16384" width="9.140625" style="67"/>
  </cols>
  <sheetData>
    <row r="1" spans="2:7">
      <c r="B1" s="1463" t="s">
        <v>3385</v>
      </c>
      <c r="C1" s="1463"/>
      <c r="D1" s="1463"/>
      <c r="E1" s="65" t="s">
        <v>3386</v>
      </c>
      <c r="F1" s="66">
        <v>147523273</v>
      </c>
    </row>
    <row r="2" spans="2:7" ht="34.5" customHeight="1">
      <c r="B2" s="1464" t="s">
        <v>3387</v>
      </c>
      <c r="C2" s="1464"/>
      <c r="D2" s="1464"/>
      <c r="E2" s="68"/>
      <c r="F2" s="66"/>
    </row>
    <row r="3" spans="2:7">
      <c r="C3" s="69" t="s">
        <v>3388</v>
      </c>
      <c r="D3" s="70" t="s">
        <v>3389</v>
      </c>
      <c r="E3" s="71" t="s">
        <v>3386</v>
      </c>
      <c r="F3" s="66">
        <f>SUM(F4:F8)*-1</f>
        <v>-136013266</v>
      </c>
    </row>
    <row r="4" spans="2:7" s="72" customFormat="1">
      <c r="C4" s="73"/>
      <c r="D4" s="74" t="s">
        <v>3390</v>
      </c>
      <c r="E4" s="75" t="s">
        <v>3386</v>
      </c>
      <c r="F4" s="76">
        <v>5105276</v>
      </c>
    </row>
    <row r="5" spans="2:7" s="72" customFormat="1">
      <c r="C5" s="73"/>
      <c r="D5" s="77" t="s">
        <v>3391</v>
      </c>
      <c r="E5" s="71" t="s">
        <v>3386</v>
      </c>
      <c r="F5" s="78">
        <v>23442933</v>
      </c>
    </row>
    <row r="6" spans="2:7" s="72" customFormat="1">
      <c r="C6" s="73"/>
      <c r="D6" s="77" t="s">
        <v>3392</v>
      </c>
      <c r="E6" s="71" t="s">
        <v>3386</v>
      </c>
      <c r="F6" s="78">
        <v>84525239</v>
      </c>
    </row>
    <row r="7" spans="2:7" s="72" customFormat="1">
      <c r="C7" s="73"/>
      <c r="D7" s="77" t="s">
        <v>3134</v>
      </c>
      <c r="E7" s="71" t="s">
        <v>3386</v>
      </c>
      <c r="F7" s="78">
        <v>2975110</v>
      </c>
    </row>
    <row r="8" spans="2:7" s="72" customFormat="1">
      <c r="C8" s="73"/>
      <c r="D8" s="79" t="s">
        <v>3135</v>
      </c>
      <c r="E8" s="80" t="s">
        <v>3386</v>
      </c>
      <c r="F8" s="81">
        <v>19964708</v>
      </c>
    </row>
    <row r="9" spans="2:7">
      <c r="C9" s="69" t="s">
        <v>3136</v>
      </c>
      <c r="D9" s="73" t="s">
        <v>3137</v>
      </c>
      <c r="E9" s="82" t="s">
        <v>3386</v>
      </c>
      <c r="F9" s="66">
        <v>14882685</v>
      </c>
    </row>
    <row r="10" spans="2:7">
      <c r="C10" s="69" t="s">
        <v>3136</v>
      </c>
      <c r="D10" s="69" t="s">
        <v>3138</v>
      </c>
      <c r="E10" s="82" t="s">
        <v>3386</v>
      </c>
      <c r="F10" s="66">
        <v>12165123</v>
      </c>
    </row>
    <row r="11" spans="2:7">
      <c r="C11" s="69" t="s">
        <v>3388</v>
      </c>
      <c r="D11" s="69" t="s">
        <v>3139</v>
      </c>
      <c r="E11" s="80" t="s">
        <v>3386</v>
      </c>
      <c r="F11" s="83">
        <v>-909169</v>
      </c>
    </row>
    <row r="12" spans="2:7" s="84" customFormat="1" ht="15">
      <c r="C12" s="85"/>
      <c r="D12" s="85" t="s">
        <v>919</v>
      </c>
      <c r="E12" s="86" t="s">
        <v>3386</v>
      </c>
      <c r="F12" s="87">
        <f>F11+F10+F9+F3+F1</f>
        <v>37648646</v>
      </c>
      <c r="G12" s="88"/>
    </row>
    <row r="13" spans="2:7">
      <c r="C13" s="69" t="s">
        <v>3388</v>
      </c>
      <c r="D13" s="69" t="s">
        <v>3140</v>
      </c>
      <c r="E13" s="82" t="s">
        <v>3386</v>
      </c>
      <c r="F13" s="66">
        <v>-3808628</v>
      </c>
    </row>
    <row r="14" spans="2:7">
      <c r="C14" s="69" t="s">
        <v>3388</v>
      </c>
      <c r="D14" s="69" t="s">
        <v>3141</v>
      </c>
      <c r="E14" s="80" t="s">
        <v>3386</v>
      </c>
      <c r="F14" s="83">
        <v>-12455942</v>
      </c>
    </row>
    <row r="15" spans="2:7" ht="15">
      <c r="C15" s="85"/>
      <c r="D15" s="89" t="s">
        <v>3142</v>
      </c>
      <c r="E15" s="86" t="s">
        <v>3386</v>
      </c>
      <c r="F15" s="87">
        <f>SUM(F12:F14)</f>
        <v>21384076</v>
      </c>
      <c r="G15" s="90"/>
    </row>
    <row r="16" spans="2:7" ht="15">
      <c r="C16" s="85"/>
      <c r="D16" s="89" t="s">
        <v>3143</v>
      </c>
      <c r="E16" s="86" t="s">
        <v>3386</v>
      </c>
      <c r="F16" s="87">
        <v>125480</v>
      </c>
    </row>
    <row r="17" spans="2:6" ht="15.75" thickBot="1">
      <c r="C17" s="85"/>
      <c r="D17" s="89" t="s">
        <v>3144</v>
      </c>
      <c r="E17" s="91" t="s">
        <v>3386</v>
      </c>
      <c r="F17" s="92">
        <f>F16+F15</f>
        <v>21509556</v>
      </c>
    </row>
    <row r="18" spans="2:6" ht="15" thickTop="1">
      <c r="E18" s="67"/>
    </row>
    <row r="19" spans="2:6">
      <c r="B19" s="1465" t="s">
        <v>1108</v>
      </c>
      <c r="C19" s="1465"/>
      <c r="D19" s="1465"/>
      <c r="E19" s="1465"/>
      <c r="F19" s="1465"/>
    </row>
    <row r="20" spans="2:6">
      <c r="F20" s="95"/>
    </row>
    <row r="21" spans="2:6">
      <c r="B21" s="96" t="s">
        <v>1109</v>
      </c>
      <c r="C21" s="96"/>
      <c r="D21" s="96"/>
      <c r="E21" s="96"/>
      <c r="F21" s="97"/>
    </row>
    <row r="22" spans="2:6">
      <c r="B22" s="67" t="s">
        <v>1110</v>
      </c>
      <c r="E22" s="96" t="s">
        <v>3386</v>
      </c>
      <c r="F22" s="97">
        <v>10.3</v>
      </c>
    </row>
    <row r="23" spans="2:6">
      <c r="B23" s="96" t="s">
        <v>1111</v>
      </c>
      <c r="C23" s="96"/>
      <c r="D23" s="96"/>
      <c r="E23" s="96" t="s">
        <v>3386</v>
      </c>
      <c r="F23" s="97">
        <v>10.7</v>
      </c>
    </row>
    <row r="24" spans="2:6">
      <c r="B24" s="96"/>
      <c r="C24" s="98" t="s">
        <v>1112</v>
      </c>
      <c r="D24" s="99"/>
      <c r="E24" s="99" t="s">
        <v>3386</v>
      </c>
      <c r="F24" s="100">
        <v>4.4000000000000004</v>
      </c>
    </row>
    <row r="25" spans="2:6">
      <c r="B25" s="96"/>
      <c r="C25" s="101" t="s">
        <v>1113</v>
      </c>
      <c r="D25" s="102"/>
      <c r="E25" s="102" t="s">
        <v>3386</v>
      </c>
      <c r="F25" s="103">
        <v>13.2</v>
      </c>
    </row>
    <row r="26" spans="2:6">
      <c r="B26" s="96"/>
      <c r="C26" s="101" t="s">
        <v>917</v>
      </c>
      <c r="D26" s="102"/>
      <c r="E26" s="102" t="s">
        <v>3386</v>
      </c>
      <c r="F26" s="103">
        <v>-4.5999999999999996</v>
      </c>
    </row>
    <row r="27" spans="2:6">
      <c r="B27" s="96"/>
      <c r="C27" s="104" t="s">
        <v>918</v>
      </c>
      <c r="D27" s="105"/>
      <c r="E27" s="105" t="s">
        <v>3386</v>
      </c>
      <c r="F27" s="106">
        <v>-2.2999999999999998</v>
      </c>
    </row>
    <row r="28" spans="2:6">
      <c r="F28" s="95"/>
    </row>
    <row r="29" spans="2:6" s="108" customFormat="1" ht="43.5" customHeight="1">
      <c r="B29" s="1465" t="s">
        <v>2369</v>
      </c>
      <c r="C29" s="1465"/>
      <c r="D29" s="1465"/>
      <c r="E29" s="1465"/>
      <c r="F29" s="1465"/>
    </row>
    <row r="30" spans="2:6">
      <c r="B30" s="109"/>
    </row>
    <row r="34" spans="6:6">
      <c r="F34" s="95"/>
    </row>
  </sheetData>
  <mergeCells count="4">
    <mergeCell ref="B1:D1"/>
    <mergeCell ref="B2:D2"/>
    <mergeCell ref="B19:F19"/>
    <mergeCell ref="B29:F29"/>
  </mergeCells>
  <phoneticPr fontId="0" type="noConversion"/>
  <pageMargins left="0.7" right="0.7" top="0.75" bottom="0.75" header="0.3" footer="0.3"/>
  <pageSetup paperSize="9" orientation="portrait" r:id="rId1"/>
  <ignoredErrors>
    <ignoredError sqref="F3" formulaRange="1"/>
  </ignoredErrors>
</worksheet>
</file>

<file path=xl/worksheets/sheet3.xml><?xml version="1.0" encoding="utf-8"?>
<worksheet xmlns="http://schemas.openxmlformats.org/spreadsheetml/2006/main" xmlns:r="http://schemas.openxmlformats.org/officeDocument/2006/relationships">
  <sheetPr>
    <pageSetUpPr fitToPage="1"/>
  </sheetPr>
  <dimension ref="A1:Q59"/>
  <sheetViews>
    <sheetView tabSelected="1" view="pageBreakPreview" zoomScaleSheetLayoutView="100" workbookViewId="0">
      <selection activeCell="C13" sqref="C13"/>
    </sheetView>
  </sheetViews>
  <sheetFormatPr defaultColWidth="85.140625" defaultRowHeight="14.25"/>
  <cols>
    <col min="1" max="1" width="19.5703125" style="544" customWidth="1"/>
    <col min="2" max="2" width="4.28515625" style="544" bestFit="1" customWidth="1"/>
    <col min="3" max="3" width="63.85546875" style="545" customWidth="1"/>
    <col min="4" max="4" width="7.85546875" style="544" customWidth="1"/>
    <col min="5" max="5" width="35.28515625" style="545" customWidth="1"/>
    <col min="6" max="16384" width="85.140625" style="545"/>
  </cols>
  <sheetData>
    <row r="1" spans="1:4" ht="18">
      <c r="A1" s="1311" t="s">
        <v>2200</v>
      </c>
      <c r="B1" s="1311"/>
      <c r="C1" s="1311"/>
      <c r="D1" s="1311"/>
    </row>
    <row r="2" spans="1:4">
      <c r="D2" s="544" t="s">
        <v>13</v>
      </c>
    </row>
    <row r="3" spans="1:4" ht="14.25" customHeight="1">
      <c r="A3" s="1310" t="s">
        <v>12</v>
      </c>
      <c r="B3" s="1310"/>
      <c r="C3" s="1310"/>
      <c r="D3" s="547">
        <v>1</v>
      </c>
    </row>
    <row r="4" spans="1:4" ht="17.100000000000001" customHeight="1">
      <c r="A4" s="1310" t="s">
        <v>983</v>
      </c>
      <c r="B4" s="1310"/>
      <c r="C4" s="1310"/>
      <c r="D4" s="547">
        <v>2</v>
      </c>
    </row>
    <row r="5" spans="1:4" ht="17.100000000000001" customHeight="1">
      <c r="A5" s="1310" t="s">
        <v>1602</v>
      </c>
      <c r="B5" s="1310"/>
      <c r="C5" s="1310"/>
      <c r="D5" s="547">
        <v>3</v>
      </c>
    </row>
    <row r="6" spans="1:4" ht="17.100000000000001" customHeight="1">
      <c r="A6" s="1310" t="s">
        <v>2198</v>
      </c>
      <c r="B6" s="1310"/>
      <c r="C6" s="1310"/>
      <c r="D6" s="547">
        <v>4</v>
      </c>
    </row>
    <row r="7" spans="1:4" ht="17.100000000000001" customHeight="1">
      <c r="A7" s="1310" t="s">
        <v>2199</v>
      </c>
      <c r="B7" s="1310"/>
      <c r="C7" s="1310"/>
      <c r="D7" s="547">
        <v>5</v>
      </c>
    </row>
    <row r="8" spans="1:4" ht="17.100000000000001" customHeight="1">
      <c r="A8" s="546" t="s">
        <v>2197</v>
      </c>
      <c r="B8" s="546"/>
      <c r="C8" s="546"/>
      <c r="D8" s="547"/>
    </row>
    <row r="9" spans="1:4">
      <c r="A9" s="546" t="s">
        <v>2201</v>
      </c>
      <c r="B9" s="547" t="s">
        <v>1074</v>
      </c>
      <c r="C9" s="546" t="str">
        <f>'Note 1 Accounting Policy'!_Toc203654196</f>
        <v>ACCOUNTING POLICY</v>
      </c>
      <c r="D9" s="582" t="s">
        <v>1556</v>
      </c>
    </row>
    <row r="10" spans="1:4">
      <c r="A10" s="546" t="s">
        <v>2202</v>
      </c>
      <c r="B10" s="547" t="s">
        <v>1074</v>
      </c>
      <c r="C10" s="546" t="str">
        <f>'Notes 2 - 9'!B7</f>
        <v>STATUTORY FUNDS &amp; RESERVES</v>
      </c>
      <c r="D10" s="547">
        <v>19</v>
      </c>
    </row>
    <row r="11" spans="1:4">
      <c r="A11" s="546" t="s">
        <v>2203</v>
      </c>
      <c r="B11" s="547" t="s">
        <v>1074</v>
      </c>
      <c r="C11" s="546" t="str">
        <f>'Notes 2 - 9'!B17</f>
        <v>RESERVES</v>
      </c>
      <c r="D11" s="547">
        <v>19</v>
      </c>
    </row>
    <row r="12" spans="1:4">
      <c r="A12" s="546" t="s">
        <v>2204</v>
      </c>
      <c r="B12" s="547" t="s">
        <v>1074</v>
      </c>
      <c r="C12" s="546" t="str">
        <f>'Notes 2 - 9'!B45</f>
        <v>ACCUMULATED SURPLUS/(DEFICIT)</v>
      </c>
      <c r="D12" s="547">
        <v>19</v>
      </c>
    </row>
    <row r="13" spans="1:4">
      <c r="A13" s="546" t="s">
        <v>2205</v>
      </c>
      <c r="B13" s="547" t="s">
        <v>1074</v>
      </c>
      <c r="C13" s="546" t="str">
        <f>'Notes 2 - 9'!B59</f>
        <v>LONG TERM LIABILITIES</v>
      </c>
      <c r="D13" s="547">
        <v>20</v>
      </c>
    </row>
    <row r="14" spans="1:4">
      <c r="A14" s="546" t="s">
        <v>2206</v>
      </c>
      <c r="B14" s="547" t="s">
        <v>1074</v>
      </c>
      <c r="C14" s="546" t="str">
        <f>'Notes 2 - 9'!B79</f>
        <v>CONSUMER DEPOSITS</v>
      </c>
      <c r="D14" s="547">
        <v>20</v>
      </c>
    </row>
    <row r="15" spans="1:4">
      <c r="A15" s="546" t="s">
        <v>2207</v>
      </c>
      <c r="B15" s="547" t="s">
        <v>1074</v>
      </c>
      <c r="C15" s="546" t="str">
        <f>'Notes 2 - 9'!B92</f>
        <v>PROVISIONS</v>
      </c>
      <c r="D15" s="547">
        <v>21</v>
      </c>
    </row>
    <row r="16" spans="1:4">
      <c r="A16" s="546" t="s">
        <v>2208</v>
      </c>
      <c r="B16" s="547" t="s">
        <v>1074</v>
      </c>
      <c r="C16" s="546" t="str">
        <f>'Notes 2 - 9'!B106</f>
        <v>TRADE AND OTHER PAYABLES</v>
      </c>
      <c r="D16" s="547">
        <v>21</v>
      </c>
    </row>
    <row r="17" spans="1:4">
      <c r="A17" s="546" t="s">
        <v>2209</v>
      </c>
      <c r="B17" s="547" t="s">
        <v>1074</v>
      </c>
      <c r="C17" s="546" t="str">
        <f>'Notes 2 - 9'!B130</f>
        <v>UNSPEND CONDITIONAL GRANTS FROM GOVERNMENT</v>
      </c>
      <c r="D17" s="547">
        <v>21</v>
      </c>
    </row>
    <row r="18" spans="1:4" ht="14.25" customHeight="1">
      <c r="A18" s="546" t="s">
        <v>2210</v>
      </c>
      <c r="B18" s="547" t="s">
        <v>1074</v>
      </c>
      <c r="C18" s="548" t="str">
        <f>'Note 10'!B4</f>
        <v>PROPERTY, PLANT &amp; EQUIPMENT</v>
      </c>
      <c r="D18" s="547">
        <v>22</v>
      </c>
    </row>
    <row r="19" spans="1:4" ht="14.25" customHeight="1">
      <c r="A19" s="546" t="s">
        <v>2211</v>
      </c>
      <c r="B19" s="547" t="s">
        <v>1074</v>
      </c>
      <c r="C19" s="548" t="s">
        <v>589</v>
      </c>
      <c r="D19" s="547">
        <v>23</v>
      </c>
    </row>
    <row r="20" spans="1:4" ht="14.25" customHeight="1">
      <c r="A20" s="546" t="s">
        <v>2212</v>
      </c>
      <c r="B20" s="547" t="s">
        <v>1074</v>
      </c>
      <c r="C20" s="546" t="str">
        <f>'Note 11-14'!B14</f>
        <v>INVESTMENTS</v>
      </c>
      <c r="D20" s="547">
        <v>23</v>
      </c>
    </row>
    <row r="21" spans="1:4" ht="14.25" customHeight="1">
      <c r="A21" s="546" t="s">
        <v>2213</v>
      </c>
      <c r="B21" s="547" t="s">
        <v>1074</v>
      </c>
      <c r="C21" s="546" t="str">
        <f>'Note 11-14'!B43</f>
        <v>NON CURRENT RECEIVABLES</v>
      </c>
      <c r="D21" s="547">
        <v>24</v>
      </c>
    </row>
    <row r="22" spans="1:4" ht="14.25" customHeight="1">
      <c r="A22" s="546" t="s">
        <v>2214</v>
      </c>
      <c r="B22" s="547" t="s">
        <v>1074</v>
      </c>
      <c r="C22" s="546" t="str">
        <f>'Note 11-14'!B70</f>
        <v>INVENTORY</v>
      </c>
      <c r="D22" s="547">
        <v>24</v>
      </c>
    </row>
    <row r="23" spans="1:4" ht="14.25" customHeight="1">
      <c r="A23" s="546" t="s">
        <v>2215</v>
      </c>
      <c r="B23" s="547" t="s">
        <v>1074</v>
      </c>
      <c r="C23" s="546" t="s">
        <v>3517</v>
      </c>
      <c r="D23" s="583" t="s">
        <v>3708</v>
      </c>
    </row>
    <row r="24" spans="1:4" ht="14.25" customHeight="1">
      <c r="A24" s="546" t="s">
        <v>2216</v>
      </c>
      <c r="B24" s="547" t="s">
        <v>1074</v>
      </c>
      <c r="C24" s="546" t="str">
        <f>'Note 16, 17'!B8</f>
        <v>OTHER RECEIVABLES</v>
      </c>
      <c r="D24" s="547">
        <v>28</v>
      </c>
    </row>
    <row r="25" spans="1:4" ht="14.25" customHeight="1">
      <c r="A25" s="546" t="s">
        <v>2217</v>
      </c>
      <c r="B25" s="547" t="s">
        <v>1074</v>
      </c>
      <c r="C25" s="549" t="str">
        <f>'Note 16, 17'!B23</f>
        <v>CASH AND CASH EQUIVALENTS</v>
      </c>
      <c r="D25" s="583" t="s">
        <v>1557</v>
      </c>
    </row>
    <row r="26" spans="1:4" ht="14.25" customHeight="1">
      <c r="A26" s="546" t="s">
        <v>2218</v>
      </c>
      <c r="B26" s="547" t="s">
        <v>1074</v>
      </c>
      <c r="C26" s="546" t="str">
        <f>'Notes 18 - 35'!B5</f>
        <v>PROPERTY RATES</v>
      </c>
      <c r="D26" s="547">
        <v>30</v>
      </c>
    </row>
    <row r="27" spans="1:4" ht="14.25" customHeight="1">
      <c r="A27" s="546" t="s">
        <v>2219</v>
      </c>
      <c r="B27" s="547" t="s">
        <v>1074</v>
      </c>
      <c r="C27" s="546" t="str">
        <f>'Notes 18 - 35'!B40</f>
        <v>SERVICE CHARGES</v>
      </c>
      <c r="D27" s="547">
        <v>30</v>
      </c>
    </row>
    <row r="28" spans="1:4" ht="14.25" customHeight="1">
      <c r="A28" s="546" t="s">
        <v>2220</v>
      </c>
      <c r="B28" s="547" t="s">
        <v>1074</v>
      </c>
      <c r="C28" s="546" t="str">
        <f>'Notes 18 - 35'!B50</f>
        <v>GOVERNMENT SUBSIDIES &amp; GRANTS</v>
      </c>
      <c r="D28" s="583" t="s">
        <v>1558</v>
      </c>
    </row>
    <row r="29" spans="1:4" ht="14.25" customHeight="1">
      <c r="A29" s="546" t="s">
        <v>2221</v>
      </c>
      <c r="B29" s="547" t="s">
        <v>1074</v>
      </c>
      <c r="C29" s="548" t="str">
        <f>'Notes 18 - 35'!B150</f>
        <v>PUBLIC CONTRIBUTIONS, DONATED &amp; CONTRIBUTED PROPERTY,  PLANT &amp; EQUIPMENT</v>
      </c>
      <c r="D29" s="547">
        <v>33</v>
      </c>
    </row>
    <row r="30" spans="1:4" ht="14.25" customHeight="1">
      <c r="A30" s="546" t="s">
        <v>2222</v>
      </c>
      <c r="B30" s="547" t="s">
        <v>1074</v>
      </c>
      <c r="C30" s="546" t="str">
        <f>'Notes 18 - 35'!B158</f>
        <v>EXTERNAL INVESTMENTS</v>
      </c>
      <c r="D30" s="547">
        <v>34</v>
      </c>
    </row>
    <row r="31" spans="1:4" ht="14.25" customHeight="1">
      <c r="A31" s="546" t="s">
        <v>2223</v>
      </c>
      <c r="B31" s="547" t="s">
        <v>1074</v>
      </c>
      <c r="C31" s="546" t="str">
        <f>'Notes 18 - 35'!B163</f>
        <v>INTEREST OUTSTANDING DEBTORS</v>
      </c>
      <c r="D31" s="547">
        <v>34</v>
      </c>
    </row>
    <row r="32" spans="1:4" ht="14.25" customHeight="1">
      <c r="A32" s="546" t="s">
        <v>2224</v>
      </c>
      <c r="B32" s="547" t="s">
        <v>1074</v>
      </c>
      <c r="C32" s="546" t="str">
        <f>'Notes 18 - 35'!B178</f>
        <v>OTHER REVENUE</v>
      </c>
      <c r="D32" s="547">
        <v>34</v>
      </c>
    </row>
    <row r="33" spans="1:4" ht="14.25" customHeight="1">
      <c r="A33" s="546" t="s">
        <v>2225</v>
      </c>
      <c r="B33" s="547" t="s">
        <v>1074</v>
      </c>
      <c r="C33" s="546" t="str">
        <f>'Notes 18 - 35'!B191</f>
        <v>EMPLOYEE RELATED COSTS</v>
      </c>
      <c r="D33" s="547">
        <v>35</v>
      </c>
    </row>
    <row r="34" spans="1:4" ht="14.25" customHeight="1">
      <c r="A34" s="546" t="s">
        <v>2226</v>
      </c>
      <c r="B34" s="547" t="s">
        <v>1074</v>
      </c>
      <c r="C34" s="546" t="str">
        <f>'Notes 18 - 35'!B239</f>
        <v>REMUNERATION OF COUNCILLORS</v>
      </c>
      <c r="D34" s="547">
        <v>36</v>
      </c>
    </row>
    <row r="35" spans="1:4" ht="14.25" customHeight="1">
      <c r="A35" s="546" t="s">
        <v>2227</v>
      </c>
      <c r="B35" s="547" t="s">
        <v>1074</v>
      </c>
      <c r="C35" s="546" t="str">
        <f>'Notes 18 - 35'!B257</f>
        <v>FINANCE COST</v>
      </c>
      <c r="D35" s="547">
        <v>36</v>
      </c>
    </row>
    <row r="36" spans="1:4" ht="14.25" customHeight="1">
      <c r="A36" s="546" t="s">
        <v>2228</v>
      </c>
      <c r="B36" s="547" t="s">
        <v>1074</v>
      </c>
      <c r="C36" s="546" t="str">
        <f>'Notes 18 - 35'!B265</f>
        <v>BULK PURCHASES</v>
      </c>
      <c r="D36" s="547">
        <v>36</v>
      </c>
    </row>
    <row r="37" spans="1:4" ht="14.25" customHeight="1">
      <c r="A37" s="546" t="s">
        <v>2229</v>
      </c>
      <c r="B37" s="547" t="s">
        <v>1074</v>
      </c>
      <c r="C37" s="546" t="str">
        <f>'Notes 18 - 35'!B275</f>
        <v>GRANT AND SUBSIDIES PAID</v>
      </c>
      <c r="D37" s="547">
        <v>37</v>
      </c>
    </row>
    <row r="38" spans="1:4" ht="14.25" customHeight="1">
      <c r="A38" s="546" t="s">
        <v>2230</v>
      </c>
      <c r="B38" s="547" t="s">
        <v>1074</v>
      </c>
      <c r="C38" s="546" t="str">
        <f>'Notes 18 - 35'!B286</f>
        <v xml:space="preserve">GENERAL EXPENSES </v>
      </c>
      <c r="D38" s="547">
        <v>37</v>
      </c>
    </row>
    <row r="39" spans="1:4" ht="14.25" customHeight="1">
      <c r="A39" s="546" t="s">
        <v>2231</v>
      </c>
      <c r="B39" s="547" t="s">
        <v>1074</v>
      </c>
      <c r="C39" s="546" t="str">
        <f>'Notes 18 - 35'!B297</f>
        <v>CORRECTION OF ERROR</v>
      </c>
      <c r="D39" s="547">
        <v>37</v>
      </c>
    </row>
    <row r="40" spans="1:4" ht="14.25" customHeight="1">
      <c r="A40" s="546" t="s">
        <v>2232</v>
      </c>
      <c r="B40" s="547" t="s">
        <v>1074</v>
      </c>
      <c r="C40" s="546" t="str">
        <f>'Notes 18 - 35'!B308</f>
        <v>CASH GENERATED FROM/(UTILISED IN) OPERATIONS</v>
      </c>
      <c r="D40" s="547">
        <v>38</v>
      </c>
    </row>
    <row r="41" spans="1:4" ht="14.25" customHeight="1">
      <c r="A41" s="546" t="s">
        <v>2233</v>
      </c>
      <c r="B41" s="547" t="s">
        <v>1074</v>
      </c>
      <c r="C41" s="546" t="str">
        <f>'Notes 18 - 35'!B345</f>
        <v>UTILISATION OF LONG TERM LIABILITIES RECONCILIATION</v>
      </c>
      <c r="D41" s="547">
        <v>38</v>
      </c>
    </row>
    <row r="42" spans="1:4" ht="14.25" customHeight="1">
      <c r="A42" s="546" t="s">
        <v>2234</v>
      </c>
      <c r="B42" s="547" t="s">
        <v>1074</v>
      </c>
      <c r="C42" s="546" t="str">
        <f>'Notes 18 - 35'!B356</f>
        <v>CAPITAL COMMITMENTS</v>
      </c>
      <c r="D42" s="547">
        <v>39</v>
      </c>
    </row>
    <row r="43" spans="1:4" ht="29.25" customHeight="1">
      <c r="A43" s="546" t="s">
        <v>2235</v>
      </c>
      <c r="B43" s="547" t="s">
        <v>1074</v>
      </c>
      <c r="C43" s="546" t="s">
        <v>1561</v>
      </c>
      <c r="D43" s="583" t="s">
        <v>1559</v>
      </c>
    </row>
    <row r="44" spans="1:4" ht="14.25" customHeight="1">
      <c r="A44" s="546" t="s">
        <v>2236</v>
      </c>
      <c r="B44" s="547" t="s">
        <v>1074</v>
      </c>
      <c r="C44" s="546" t="str">
        <f>'Note 35 (Continue..) - 36'!B31</f>
        <v>CERTIFICATION AND APPROVAL BY THE ACCOUNTING OFFICER</v>
      </c>
      <c r="D44" s="547">
        <v>43</v>
      </c>
    </row>
    <row r="45" spans="1:4" ht="14.25" customHeight="1">
      <c r="A45" s="546" t="s">
        <v>2237</v>
      </c>
      <c r="B45" s="547" t="s">
        <v>1074</v>
      </c>
      <c r="C45" s="548" t="str">
        <f>'Note 37'!B7</f>
        <v>INVESTMENT PROPERTY</v>
      </c>
      <c r="D45" s="547">
        <v>44</v>
      </c>
    </row>
    <row r="46" spans="1:4" ht="14.25" customHeight="1">
      <c r="A46" s="546" t="s">
        <v>2238</v>
      </c>
      <c r="B46" s="547" t="s">
        <v>1074</v>
      </c>
      <c r="C46" s="548" t="str">
        <f>'Note 38'!C5</f>
        <v>CHANGE IN ACCOUNTING POLICY - IMPLEMENTATION OF GAMAP</v>
      </c>
      <c r="D46" s="583" t="s">
        <v>1560</v>
      </c>
    </row>
    <row r="47" spans="1:4" ht="14.25" customHeight="1">
      <c r="A47" s="546" t="s">
        <v>2239</v>
      </c>
      <c r="B47" s="547" t="s">
        <v>1074</v>
      </c>
      <c r="C47" s="548" t="str">
        <f>'Note 39 -42'!B5</f>
        <v>CONTINGENT LIABILITIES</v>
      </c>
      <c r="D47" s="547">
        <v>47</v>
      </c>
    </row>
    <row r="48" spans="1:4" ht="14.25" customHeight="1">
      <c r="A48" s="546" t="s">
        <v>2240</v>
      </c>
      <c r="B48" s="547" t="s">
        <v>1074</v>
      </c>
      <c r="C48" s="548" t="str">
        <f>'Note 39 -42'!B14</f>
        <v>CONTINGENT ASSETS</v>
      </c>
      <c r="D48" s="547">
        <v>47</v>
      </c>
    </row>
    <row r="49" spans="1:17">
      <c r="A49" s="546" t="s">
        <v>14</v>
      </c>
      <c r="B49" s="547" t="s">
        <v>1074</v>
      </c>
      <c r="C49" s="546" t="s">
        <v>607</v>
      </c>
      <c r="D49" s="547">
        <v>47</v>
      </c>
    </row>
    <row r="50" spans="1:17">
      <c r="A50" s="546" t="s">
        <v>15</v>
      </c>
      <c r="B50" s="547"/>
      <c r="C50" s="546" t="s">
        <v>3670</v>
      </c>
      <c r="D50" s="547">
        <v>48</v>
      </c>
    </row>
    <row r="51" spans="1:17" ht="28.5">
      <c r="A51" s="546" t="s">
        <v>3707</v>
      </c>
      <c r="B51" s="547" t="s">
        <v>1074</v>
      </c>
      <c r="C51" s="546" t="s">
        <v>3646</v>
      </c>
      <c r="D51" s="583" t="s">
        <v>3709</v>
      </c>
    </row>
    <row r="52" spans="1:17">
      <c r="A52" s="550" t="s">
        <v>16</v>
      </c>
      <c r="B52" s="547" t="s">
        <v>1074</v>
      </c>
      <c r="C52" s="546" t="s">
        <v>1537</v>
      </c>
      <c r="D52" s="547">
        <v>57</v>
      </c>
    </row>
    <row r="53" spans="1:17">
      <c r="A53" s="550" t="s">
        <v>17</v>
      </c>
      <c r="B53" s="547" t="s">
        <v>1074</v>
      </c>
      <c r="C53" s="546" t="s">
        <v>1538</v>
      </c>
      <c r="D53" s="547">
        <v>58</v>
      </c>
    </row>
    <row r="54" spans="1:17" ht="28.5">
      <c r="A54" s="550" t="s">
        <v>1531</v>
      </c>
      <c r="B54" s="547" t="s">
        <v>1074</v>
      </c>
      <c r="C54" s="546" t="s">
        <v>1539</v>
      </c>
      <c r="D54" s="547">
        <v>59</v>
      </c>
    </row>
    <row r="55" spans="1:17" ht="28.5">
      <c r="A55" s="550" t="s">
        <v>1532</v>
      </c>
      <c r="B55" s="547" t="s">
        <v>1074</v>
      </c>
      <c r="C55" s="546" t="s">
        <v>1777</v>
      </c>
      <c r="D55" s="547">
        <v>60</v>
      </c>
      <c r="E55" s="14"/>
      <c r="F55" s="14"/>
      <c r="G55" s="14"/>
      <c r="H55" s="14"/>
      <c r="I55" s="14"/>
      <c r="J55" s="14"/>
      <c r="K55" s="14"/>
      <c r="L55" s="14"/>
      <c r="M55" s="14"/>
      <c r="N55" s="14"/>
      <c r="O55" s="14"/>
      <c r="P55" s="14"/>
      <c r="Q55" s="14"/>
    </row>
    <row r="56" spans="1:17">
      <c r="A56" s="550" t="s">
        <v>1533</v>
      </c>
      <c r="B56" s="547" t="s">
        <v>1074</v>
      </c>
      <c r="C56" s="546" t="s">
        <v>1540</v>
      </c>
      <c r="D56" s="547">
        <v>61</v>
      </c>
      <c r="E56" s="551"/>
      <c r="F56" s="551"/>
      <c r="G56" s="551"/>
      <c r="H56" s="551"/>
    </row>
    <row r="57" spans="1:17">
      <c r="A57" s="550" t="s">
        <v>1534</v>
      </c>
      <c r="B57" s="547" t="s">
        <v>1074</v>
      </c>
      <c r="C57" s="546" t="s">
        <v>2255</v>
      </c>
      <c r="D57" s="547">
        <v>62</v>
      </c>
    </row>
    <row r="58" spans="1:17">
      <c r="A58" s="550" t="s">
        <v>1535</v>
      </c>
      <c r="B58" s="547" t="s">
        <v>1074</v>
      </c>
      <c r="C58" s="546" t="s">
        <v>2255</v>
      </c>
      <c r="D58" s="547">
        <v>62</v>
      </c>
    </row>
    <row r="59" spans="1:17">
      <c r="A59" s="550" t="s">
        <v>1536</v>
      </c>
      <c r="B59" s="547" t="s">
        <v>1074</v>
      </c>
      <c r="C59" s="546" t="s">
        <v>1541</v>
      </c>
      <c r="D59" s="547">
        <v>63</v>
      </c>
    </row>
  </sheetData>
  <mergeCells count="6">
    <mergeCell ref="A3:C3"/>
    <mergeCell ref="A1:D1"/>
    <mergeCell ref="A7:C7"/>
    <mergeCell ref="A4:C4"/>
    <mergeCell ref="A5:C5"/>
    <mergeCell ref="A6:C6"/>
  </mergeCells>
  <phoneticPr fontId="34" type="noConversion"/>
  <printOptions horizontalCentered="1"/>
  <pageMargins left="0.6692913385826772" right="0.39370078740157483" top="0.78740157480314965" bottom="0.78740157480314965" header="0.51181102362204722" footer="0.51181102362204722"/>
  <pageSetup scale="76" orientation="portrait" r:id="rId1"/>
  <headerFooter alignWithMargins="0">
    <oddHeader>&amp;C FINANCIAL STATEMENTS: MUSINA LOCAL MUNICIPALITY</oddHeader>
  </headerFooter>
</worksheet>
</file>

<file path=xl/worksheets/sheet30.xml><?xml version="1.0" encoding="utf-8"?>
<worksheet xmlns="http://schemas.openxmlformats.org/spreadsheetml/2006/main" xmlns:r="http://schemas.openxmlformats.org/officeDocument/2006/relationships">
  <sheetPr>
    <tabColor rgb="FFFFFF00"/>
  </sheetPr>
  <dimension ref="A1:E70"/>
  <sheetViews>
    <sheetView topLeftCell="A28" zoomScale="80" zoomScaleNormal="80" workbookViewId="0">
      <selection activeCell="A66" sqref="A66"/>
    </sheetView>
  </sheetViews>
  <sheetFormatPr defaultRowHeight="12.75"/>
  <cols>
    <col min="1" max="1" width="25.140625" style="22" customWidth="1"/>
    <col min="2" max="2" width="15.140625" style="31" bestFit="1" customWidth="1"/>
    <col min="3" max="3" width="14" style="22" bestFit="1" customWidth="1"/>
    <col min="4" max="4" width="21.85546875" style="22" bestFit="1" customWidth="1"/>
    <col min="5" max="5" width="15" style="22" customWidth="1"/>
    <col min="6" max="16384" width="9.140625" style="22"/>
  </cols>
  <sheetData>
    <row r="1" spans="1:2">
      <c r="A1" s="1466" t="s">
        <v>3357</v>
      </c>
      <c r="B1" s="1467"/>
    </row>
    <row r="2" spans="1:2">
      <c r="A2" s="178"/>
      <c r="B2" s="179"/>
    </row>
    <row r="3" spans="1:2">
      <c r="A3" s="178" t="s">
        <v>1121</v>
      </c>
      <c r="B3" s="180">
        <f>'Statement of Financial Performa'!F10</f>
        <v>6838330.1700000009</v>
      </c>
    </row>
    <row r="4" spans="1:2">
      <c r="A4" s="178" t="s">
        <v>1018</v>
      </c>
      <c r="B4" s="180">
        <f>'Statement of Financial Performa'!F12</f>
        <v>20757570.349999998</v>
      </c>
    </row>
    <row r="5" spans="1:2">
      <c r="A5" s="178" t="s">
        <v>1019</v>
      </c>
      <c r="B5" s="180">
        <f>'Statement of Financial Performa'!F13</f>
        <v>3910829.34</v>
      </c>
    </row>
    <row r="6" spans="1:2">
      <c r="A6" s="178" t="s">
        <v>1020</v>
      </c>
      <c r="B6" s="180">
        <f>'Statement of Financial Performa'!F14</f>
        <v>0</v>
      </c>
    </row>
    <row r="7" spans="1:2">
      <c r="A7" s="178" t="s">
        <v>3343</v>
      </c>
      <c r="B7" s="180">
        <f>'Statement of Financial Performa'!F15</f>
        <v>0</v>
      </c>
    </row>
    <row r="8" spans="1:2">
      <c r="A8" s="178" t="s">
        <v>3338</v>
      </c>
      <c r="B8" s="180">
        <f>'Statement of Financial Performa'!F17+'Statement of Financial Performa'!F18</f>
        <v>1596555.01</v>
      </c>
    </row>
    <row r="9" spans="1:2">
      <c r="A9" s="178" t="s">
        <v>3339</v>
      </c>
      <c r="B9" s="180">
        <f>'Statement of Financial Performa'!F22</f>
        <v>12943512</v>
      </c>
    </row>
    <row r="10" spans="1:2">
      <c r="A10" s="178" t="s">
        <v>3340</v>
      </c>
      <c r="B10" s="180">
        <f>'Statement of Financial Performa'!F23</f>
        <v>2043290.17</v>
      </c>
    </row>
    <row r="11" spans="1:2">
      <c r="A11" s="178" t="s">
        <v>3341</v>
      </c>
      <c r="B11" s="180">
        <f>'Statement of Financial Performa'!F26</f>
        <v>0</v>
      </c>
    </row>
    <row r="12" spans="1:2">
      <c r="A12" s="178" t="s">
        <v>3342</v>
      </c>
      <c r="B12" s="180">
        <f>'Statement of Financial Performa'!F16+'Statement of Financial Performa'!F19+'Statement of Financial Performa'!F20+'Statement of Financial Performa'!F21+'Statement of Financial Performa'!F25+'Statement of Financial Performa'!F24</f>
        <v>26187751.390000001</v>
      </c>
    </row>
    <row r="13" spans="1:2" ht="13.5" thickBot="1">
      <c r="A13" s="178"/>
      <c r="B13" s="181">
        <f>SUM(B3:B12)</f>
        <v>74277838.430000007</v>
      </c>
    </row>
    <row r="14" spans="1:2" ht="13.5" thickTop="1">
      <c r="A14" s="178" t="s">
        <v>3344</v>
      </c>
      <c r="B14" s="182">
        <f>B13-B15</f>
        <v>0</v>
      </c>
    </row>
    <row r="15" spans="1:2">
      <c r="A15" s="178"/>
      <c r="B15" s="179">
        <f>'Statement of Financial Performa'!F27</f>
        <v>74277838.430000007</v>
      </c>
    </row>
    <row r="16" spans="1:2" ht="13.5" thickBot="1">
      <c r="A16" s="183"/>
      <c r="B16" s="184"/>
    </row>
    <row r="18" spans="1:5" ht="13.5" thickBot="1"/>
    <row r="19" spans="1:5">
      <c r="A19" s="1466" t="s">
        <v>3358</v>
      </c>
      <c r="B19" s="1467"/>
    </row>
    <row r="20" spans="1:5">
      <c r="A20" s="178"/>
      <c r="B20" s="179"/>
    </row>
    <row r="21" spans="1:5">
      <c r="A21" s="178" t="s">
        <v>3345</v>
      </c>
      <c r="B21" s="180">
        <f>'Statement of Financial Performa'!F31</f>
        <v>20331605.729999997</v>
      </c>
    </row>
    <row r="22" spans="1:5">
      <c r="A22" s="178" t="s">
        <v>1629</v>
      </c>
      <c r="B22" s="180">
        <f>'Statement of Financial Performa'!F35</f>
        <v>3492914.18</v>
      </c>
    </row>
    <row r="23" spans="1:5">
      <c r="A23" s="178" t="s">
        <v>3346</v>
      </c>
      <c r="B23" s="180">
        <f>'Statement of Financial Performa'!F36</f>
        <v>2806528.21</v>
      </c>
    </row>
    <row r="24" spans="1:5">
      <c r="A24" s="178" t="s">
        <v>3347</v>
      </c>
      <c r="B24" s="180">
        <f>'Statement of Financial Performa'!F37</f>
        <v>1186125.32</v>
      </c>
    </row>
    <row r="25" spans="1:5">
      <c r="A25" s="178" t="s">
        <v>3348</v>
      </c>
      <c r="B25" s="180">
        <f>'Statement of Financial Performa'!F39+'Statement of Financial Performa'!F40</f>
        <v>12752281.619999999</v>
      </c>
    </row>
    <row r="26" spans="1:5">
      <c r="A26" s="178" t="s">
        <v>3350</v>
      </c>
      <c r="B26" s="180">
        <f>'Statement of Financial Performa'!F41</f>
        <v>2573241.02</v>
      </c>
    </row>
    <row r="27" spans="1:5">
      <c r="A27" s="178" t="s">
        <v>3351</v>
      </c>
      <c r="B27" s="180">
        <f>'Statement of Financial Performa'!F32</f>
        <v>2289128.8299999996</v>
      </c>
    </row>
    <row r="28" spans="1:5">
      <c r="A28" s="178" t="s">
        <v>3349</v>
      </c>
      <c r="B28" s="180" t="e">
        <f>'Statement of Financial Performa'!F33+'Statement of Financial Performa'!F34+'Statement of Financial Performa'!#REF!+'Statement of Financial Performa'!F42+'Statement of Financial Performa'!F43</f>
        <v>#REF!</v>
      </c>
    </row>
    <row r="29" spans="1:5" ht="13.5" thickBot="1">
      <c r="A29" s="178"/>
      <c r="B29" s="181" t="e">
        <f>SUM(B21:B28)</f>
        <v>#REF!</v>
      </c>
    </row>
    <row r="30" spans="1:5" ht="13.5" thickTop="1">
      <c r="A30" s="178" t="s">
        <v>3344</v>
      </c>
      <c r="B30" s="182" t="e">
        <f>B29-B31</f>
        <v>#REF!</v>
      </c>
    </row>
    <row r="31" spans="1:5">
      <c r="A31" s="178"/>
      <c r="B31" s="179">
        <f>'Statement of Financial Performa'!F44</f>
        <v>63352549.189999998</v>
      </c>
      <c r="D31" s="305" t="e">
        <f>B13-B29</f>
        <v>#REF!</v>
      </c>
      <c r="E31" s="22">
        <f>'Statement of Financial Performa'!F49</f>
        <v>10925289.24000001</v>
      </c>
    </row>
    <row r="32" spans="1:5" ht="13.5" thickBot="1">
      <c r="A32" s="183"/>
      <c r="B32" s="184"/>
      <c r="E32" s="305" t="e">
        <f>E31-D31</f>
        <v>#REF!</v>
      </c>
    </row>
    <row r="33" spans="1:3" ht="13.5" thickBot="1"/>
    <row r="34" spans="1:3">
      <c r="A34" s="1466" t="s">
        <v>3359</v>
      </c>
      <c r="B34" s="1468"/>
      <c r="C34" s="1467"/>
    </row>
    <row r="35" spans="1:3">
      <c r="A35" s="185"/>
      <c r="B35" s="28"/>
      <c r="C35" s="186"/>
    </row>
    <row r="36" spans="1:3">
      <c r="A36" s="178"/>
      <c r="B36" s="18" t="s">
        <v>3558</v>
      </c>
      <c r="C36" s="187" t="s">
        <v>3557</v>
      </c>
    </row>
    <row r="37" spans="1:3">
      <c r="A37" s="178" t="s">
        <v>3127</v>
      </c>
      <c r="B37" s="158">
        <f>'Note 15'!C90</f>
        <v>0</v>
      </c>
      <c r="C37" s="179">
        <f>'Note 15'!E90</f>
        <v>0</v>
      </c>
    </row>
    <row r="38" spans="1:3">
      <c r="A38" s="178" t="s">
        <v>3352</v>
      </c>
      <c r="B38" s="158">
        <f>'Note 15'!C91</f>
        <v>1705.98</v>
      </c>
      <c r="C38" s="179">
        <f>'Note 15'!E91</f>
        <v>0</v>
      </c>
    </row>
    <row r="39" spans="1:3">
      <c r="A39" s="178" t="s">
        <v>3353</v>
      </c>
      <c r="B39" s="158">
        <f>'Note 15'!C92</f>
        <v>174.74</v>
      </c>
      <c r="C39" s="179">
        <f>'Note 15'!E92</f>
        <v>0</v>
      </c>
    </row>
    <row r="40" spans="1:3">
      <c r="A40" s="178" t="s">
        <v>3354</v>
      </c>
      <c r="B40" s="158">
        <f>'Note 15'!C93</f>
        <v>174.74</v>
      </c>
      <c r="C40" s="179">
        <f>'Note 15'!E93</f>
        <v>0</v>
      </c>
    </row>
    <row r="41" spans="1:3">
      <c r="A41" s="178" t="s">
        <v>3355</v>
      </c>
      <c r="B41" s="158">
        <f>'Note 15'!C94</f>
        <v>174.74</v>
      </c>
      <c r="C41" s="179">
        <f>'Note 15'!E94</f>
        <v>0</v>
      </c>
    </row>
    <row r="42" spans="1:3">
      <c r="A42" s="178" t="s">
        <v>3356</v>
      </c>
      <c r="B42" s="158">
        <f>'Note 15'!C95</f>
        <v>346784.6</v>
      </c>
      <c r="C42" s="179">
        <f>'Note 15'!E95</f>
        <v>0</v>
      </c>
    </row>
    <row r="43" spans="1:3" ht="13.5" thickBot="1">
      <c r="A43" s="183"/>
      <c r="B43" s="188">
        <f>'Note 15'!C96</f>
        <v>0</v>
      </c>
      <c r="C43" s="189">
        <f>'Note 15'!E96</f>
        <v>0</v>
      </c>
    </row>
    <row r="45" spans="1:3" s="24" customFormat="1">
      <c r="A45" s="26"/>
      <c r="B45" s="25"/>
    </row>
    <row r="46" spans="1:3" ht="13.5" thickBot="1"/>
    <row r="47" spans="1:3" ht="39" customHeight="1">
      <c r="A47" s="1469" t="s">
        <v>3369</v>
      </c>
      <c r="B47" s="1470"/>
    </row>
    <row r="48" spans="1:3">
      <c r="A48" s="178"/>
      <c r="B48" s="179"/>
    </row>
    <row r="49" spans="1:2">
      <c r="A49" s="178"/>
      <c r="B49" s="190" t="str">
        <f>'Capital Exp by Asset Type '!B4</f>
        <v>R</v>
      </c>
    </row>
    <row r="50" spans="1:2">
      <c r="A50" s="178" t="str">
        <f>'Capital Exp by Asset Type '!A5</f>
        <v>Roads and Stormwter</v>
      </c>
      <c r="B50" s="179">
        <f>'Capital Exp by Asset Type '!B5</f>
        <v>0</v>
      </c>
    </row>
    <row r="51" spans="1:2">
      <c r="A51" s="178" t="str">
        <f>'Capital Exp by Asset Type '!A6</f>
        <v>Water Reticulation</v>
      </c>
      <c r="B51" s="179">
        <f>'Capital Exp by Asset Type '!B6</f>
        <v>0</v>
      </c>
    </row>
    <row r="52" spans="1:2">
      <c r="A52" s="178" t="str">
        <f>'Capital Exp by Asset Type '!A7</f>
        <v>Electricity Reticulation</v>
      </c>
      <c r="B52" s="179">
        <f>'Capital Exp by Asset Type '!B7</f>
        <v>0</v>
      </c>
    </row>
    <row r="53" spans="1:2">
      <c r="A53" s="178" t="str">
        <f>'Capital Exp by Asset Type '!A8</f>
        <v>Sewerage Reticulation</v>
      </c>
      <c r="B53" s="179">
        <f>'Capital Exp by Asset Type '!B8</f>
        <v>0</v>
      </c>
    </row>
    <row r="54" spans="1:2">
      <c r="A54" s="178" t="str">
        <f>'Capital Exp by Asset Type '!A9</f>
        <v>Community Halls &amp; MPCC's</v>
      </c>
      <c r="B54" s="179">
        <f>'Capital Exp by Asset Type '!B9</f>
        <v>0</v>
      </c>
    </row>
    <row r="55" spans="1:2">
      <c r="A55" s="178" t="str">
        <f>'Capital Exp by Asset Type '!A10</f>
        <v>Other Assets</v>
      </c>
      <c r="B55" s="179">
        <f>'Capital Exp by Asset Type '!B10</f>
        <v>0</v>
      </c>
    </row>
    <row r="56" spans="1:2">
      <c r="A56" s="178" t="str">
        <f>'Capital Exp by Asset Type '!A11</f>
        <v>Vehicles</v>
      </c>
      <c r="B56" s="179">
        <f>'Capital Exp by Asset Type '!B11</f>
        <v>0</v>
      </c>
    </row>
    <row r="57" spans="1:2">
      <c r="A57" s="178" t="str">
        <f>'Capital Exp by Asset Type '!A12</f>
        <v>Plant &amp; equipment</v>
      </c>
      <c r="B57" s="179">
        <f>'Capital Exp by Asset Type '!B12</f>
        <v>0</v>
      </c>
    </row>
    <row r="58" spans="1:2" ht="13.5" thickBot="1">
      <c r="A58" s="178"/>
      <c r="B58" s="181">
        <f>'Capital Exp by Asset Type '!B13</f>
        <v>0</v>
      </c>
    </row>
    <row r="59" spans="1:2" ht="14.25" thickTop="1" thickBot="1">
      <c r="A59" s="183"/>
      <c r="B59" s="184"/>
    </row>
    <row r="60" spans="1:2" ht="13.5" thickBot="1"/>
    <row r="61" spans="1:2">
      <c r="A61" s="1466" t="s">
        <v>3360</v>
      </c>
      <c r="B61" s="1467"/>
    </row>
    <row r="62" spans="1:2">
      <c r="A62" s="178"/>
      <c r="B62" s="179"/>
    </row>
    <row r="63" spans="1:2">
      <c r="A63" s="194">
        <f>'Collection Rates'!A5</f>
        <v>2002</v>
      </c>
      <c r="B63" s="192">
        <f>'Collection Rates'!B5</f>
        <v>0.99329999999999996</v>
      </c>
    </row>
    <row r="64" spans="1:2">
      <c r="A64" s="194">
        <f>'Collection Rates'!A6</f>
        <v>2003</v>
      </c>
      <c r="B64" s="192">
        <f>'Collection Rates'!B6</f>
        <v>0.97160000000000002</v>
      </c>
    </row>
    <row r="65" spans="1:2">
      <c r="A65" s="194">
        <f>'Collection Rates'!A7</f>
        <v>2004</v>
      </c>
      <c r="B65" s="192">
        <f>'Collection Rates'!B7</f>
        <v>1.0236000000000001</v>
      </c>
    </row>
    <row r="66" spans="1:2">
      <c r="A66" s="194">
        <f>'Collection Rates'!A8</f>
        <v>2005</v>
      </c>
      <c r="B66" s="192">
        <f>'Collection Rates'!B8</f>
        <v>0.99199999999999999</v>
      </c>
    </row>
    <row r="67" spans="1:2">
      <c r="A67" s="194">
        <f>'Collection Rates'!A9</f>
        <v>2006</v>
      </c>
      <c r="B67" s="192">
        <f>'Collection Rates'!B9</f>
        <v>1.0311999999999999</v>
      </c>
    </row>
    <row r="68" spans="1:2">
      <c r="A68" s="194">
        <f>'Collection Rates'!A10</f>
        <v>2007</v>
      </c>
      <c r="B68" s="192">
        <f>'Collection Rates'!B10</f>
        <v>1.04</v>
      </c>
    </row>
    <row r="69" spans="1:2">
      <c r="A69" s="193" t="str">
        <f>'Collection Rates'!A11</f>
        <v>Average</v>
      </c>
      <c r="B69" s="192">
        <f>'Collection Rates'!B11</f>
        <v>1.0086166666666667</v>
      </c>
    </row>
    <row r="70" spans="1:2" ht="13.5" thickBot="1">
      <c r="A70" s="183"/>
      <c r="B70" s="184"/>
    </row>
  </sheetData>
  <mergeCells count="5">
    <mergeCell ref="A61:B61"/>
    <mergeCell ref="A1:B1"/>
    <mergeCell ref="A19:B19"/>
    <mergeCell ref="A34:C34"/>
    <mergeCell ref="A47:B47"/>
  </mergeCells>
  <phoneticPr fontId="0" type="noConversion"/>
  <pageMargins left="0.7" right="0.7" top="0.75" bottom="0.75" header="0.3" footer="0.3"/>
  <pageSetup paperSize="9" orientation="portrait" r:id="rId1"/>
  <legacyDrawing r:id="rId2"/>
</worksheet>
</file>

<file path=xl/worksheets/sheet31.xml><?xml version="1.0" encoding="utf-8"?>
<worksheet xmlns="http://schemas.openxmlformats.org/spreadsheetml/2006/main" xmlns:r="http://schemas.openxmlformats.org/officeDocument/2006/relationships">
  <dimension ref="A1:I14"/>
  <sheetViews>
    <sheetView workbookViewId="0">
      <selection activeCell="B13" sqref="B13"/>
    </sheetView>
  </sheetViews>
  <sheetFormatPr defaultRowHeight="12.75"/>
  <cols>
    <col min="1" max="1" width="25.140625" style="22" customWidth="1"/>
    <col min="2" max="2" width="14" style="31" bestFit="1" customWidth="1"/>
    <col min="3" max="16384" width="9.140625" style="22"/>
  </cols>
  <sheetData>
    <row r="1" spans="1:9">
      <c r="A1" s="175" t="s">
        <v>3361</v>
      </c>
      <c r="B1" s="176"/>
      <c r="C1" s="175"/>
      <c r="D1" s="175"/>
      <c r="E1" s="175"/>
      <c r="F1" s="175"/>
      <c r="G1" s="175"/>
      <c r="H1" s="175"/>
      <c r="I1" s="175"/>
    </row>
    <row r="2" spans="1:9">
      <c r="A2" s="175" t="s">
        <v>3362</v>
      </c>
      <c r="B2" s="176"/>
      <c r="C2" s="175"/>
      <c r="D2" s="175"/>
      <c r="E2" s="175"/>
      <c r="F2" s="175"/>
      <c r="G2" s="175"/>
      <c r="H2" s="175"/>
      <c r="I2" s="175"/>
    </row>
    <row r="4" spans="1:9">
      <c r="B4" s="11" t="s">
        <v>3386</v>
      </c>
    </row>
    <row r="5" spans="1:9">
      <c r="A5" s="22" t="s">
        <v>3363</v>
      </c>
      <c r="B5" s="31">
        <v>0</v>
      </c>
    </row>
    <row r="6" spans="1:9">
      <c r="A6" s="22" t="s">
        <v>3364</v>
      </c>
      <c r="B6" s="31">
        <v>0</v>
      </c>
    </row>
    <row r="7" spans="1:9">
      <c r="A7" s="22" t="s">
        <v>3365</v>
      </c>
      <c r="B7" s="31">
        <v>0</v>
      </c>
    </row>
    <row r="8" spans="1:9">
      <c r="A8" s="22" t="s">
        <v>3366</v>
      </c>
      <c r="B8" s="31">
        <v>0</v>
      </c>
    </row>
    <row r="9" spans="1:9">
      <c r="A9" s="22" t="s">
        <v>3367</v>
      </c>
      <c r="B9" s="31">
        <v>0</v>
      </c>
    </row>
    <row r="10" spans="1:9">
      <c r="A10" s="22" t="s">
        <v>3489</v>
      </c>
      <c r="B10" s="31">
        <v>0</v>
      </c>
    </row>
    <row r="11" spans="1:9">
      <c r="A11" s="22" t="s">
        <v>3368</v>
      </c>
      <c r="B11" s="31">
        <v>0</v>
      </c>
    </row>
    <row r="12" spans="1:9">
      <c r="A12" s="22" t="s">
        <v>3008</v>
      </c>
      <c r="B12" s="31">
        <v>0</v>
      </c>
    </row>
    <row r="13" spans="1:9" ht="13.5" thickBot="1">
      <c r="B13" s="177">
        <f>SUM(B5:B12)</f>
        <v>0</v>
      </c>
    </row>
    <row r="14" spans="1:9" ht="13.5" thickTop="1"/>
  </sheetData>
  <phoneticPr fontId="0"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dimension ref="A1:I13"/>
  <sheetViews>
    <sheetView workbookViewId="0">
      <selection activeCell="C27" sqref="C27"/>
    </sheetView>
  </sheetViews>
  <sheetFormatPr defaultRowHeight="12.75"/>
  <cols>
    <col min="1" max="1" width="25.140625" style="22" customWidth="1"/>
    <col min="2" max="2" width="14" style="31" bestFit="1" customWidth="1"/>
    <col min="3" max="16384" width="9.140625" style="22"/>
  </cols>
  <sheetData>
    <row r="1" spans="1:9">
      <c r="A1" s="175" t="s">
        <v>3361</v>
      </c>
      <c r="B1" s="176"/>
      <c r="C1" s="175"/>
      <c r="D1" s="175"/>
      <c r="E1" s="175"/>
      <c r="F1" s="175"/>
      <c r="G1" s="175"/>
      <c r="H1" s="175"/>
      <c r="I1" s="175"/>
    </row>
    <row r="2" spans="1:9">
      <c r="A2" s="175" t="s">
        <v>3362</v>
      </c>
      <c r="B2" s="176"/>
      <c r="C2" s="175"/>
      <c r="D2" s="175"/>
      <c r="E2" s="175"/>
      <c r="F2" s="175"/>
      <c r="G2" s="175"/>
      <c r="H2" s="175"/>
      <c r="I2" s="175"/>
    </row>
    <row r="4" spans="1:9">
      <c r="B4" s="11" t="s">
        <v>3386</v>
      </c>
    </row>
    <row r="5" spans="1:9">
      <c r="A5" s="22">
        <v>2002</v>
      </c>
      <c r="B5" s="191">
        <v>0.99329999999999996</v>
      </c>
      <c r="C5" s="62"/>
    </row>
    <row r="6" spans="1:9">
      <c r="A6" s="22">
        <v>2003</v>
      </c>
      <c r="B6" s="191">
        <v>0.97160000000000002</v>
      </c>
      <c r="C6" s="62"/>
    </row>
    <row r="7" spans="1:9">
      <c r="A7" s="22">
        <v>2004</v>
      </c>
      <c r="B7" s="191">
        <v>1.0236000000000001</v>
      </c>
      <c r="C7" s="62"/>
    </row>
    <row r="8" spans="1:9">
      <c r="A8" s="22">
        <v>2005</v>
      </c>
      <c r="B8" s="191">
        <v>0.99199999999999999</v>
      </c>
      <c r="C8" s="62"/>
    </row>
    <row r="9" spans="1:9">
      <c r="A9" s="22">
        <v>2006</v>
      </c>
      <c r="B9" s="191">
        <v>1.0311999999999999</v>
      </c>
      <c r="C9" s="62"/>
    </row>
    <row r="10" spans="1:9">
      <c r="A10" s="22">
        <v>2007</v>
      </c>
      <c r="B10" s="191">
        <v>1.04</v>
      </c>
      <c r="C10" s="62"/>
    </row>
    <row r="11" spans="1:9">
      <c r="A11" s="22" t="s">
        <v>3370</v>
      </c>
      <c r="B11" s="191">
        <f>AVERAGE(B5:B10)</f>
        <v>1.0086166666666667</v>
      </c>
      <c r="C11" s="62"/>
    </row>
    <row r="12" spans="1:9">
      <c r="B12" s="22"/>
    </row>
    <row r="13" spans="1:9">
      <c r="B13" s="22"/>
    </row>
  </sheetData>
  <phoneticPr fontId="0"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dimension ref="A1:D10"/>
  <sheetViews>
    <sheetView showGridLines="0" workbookViewId="0"/>
  </sheetViews>
  <sheetFormatPr defaultRowHeight="14.25"/>
  <cols>
    <col min="1" max="1" width="20.28515625" style="27" customWidth="1"/>
    <col min="2" max="2" width="16.5703125" style="27" bestFit="1" customWidth="1"/>
    <col min="3" max="3" width="15.42578125" style="27" bestFit="1" customWidth="1"/>
    <col min="4" max="4" width="11.42578125" style="27" bestFit="1" customWidth="1"/>
    <col min="5" max="16384" width="9.140625" style="27"/>
  </cols>
  <sheetData>
    <row r="1" spans="1:4" ht="42.75">
      <c r="A1" s="116" t="s">
        <v>2375</v>
      </c>
      <c r="B1" s="116" t="s">
        <v>2376</v>
      </c>
      <c r="C1" s="116" t="s">
        <v>1606</v>
      </c>
      <c r="D1" s="116" t="s">
        <v>2377</v>
      </c>
    </row>
    <row r="2" spans="1:4" s="107" customFormat="1">
      <c r="A2" s="115"/>
      <c r="B2" s="115" t="s">
        <v>3386</v>
      </c>
      <c r="C2" s="115" t="s">
        <v>3386</v>
      </c>
      <c r="D2" s="115" t="s">
        <v>3228</v>
      </c>
    </row>
    <row r="3" spans="1:4">
      <c r="A3" s="110" t="s">
        <v>2370</v>
      </c>
      <c r="B3" s="111">
        <v>0</v>
      </c>
      <c r="C3" s="111">
        <v>0</v>
      </c>
      <c r="D3" s="112" t="e">
        <f>C3/B3</f>
        <v>#DIV/0!</v>
      </c>
    </row>
    <row r="4" spans="1:4">
      <c r="A4" s="110" t="s">
        <v>2371</v>
      </c>
      <c r="B4" s="111">
        <v>0</v>
      </c>
      <c r="C4" s="111">
        <v>0</v>
      </c>
      <c r="D4" s="112" t="e">
        <f t="shared" ref="D4:D9" si="0">C4/B4</f>
        <v>#DIV/0!</v>
      </c>
    </row>
    <row r="5" spans="1:4">
      <c r="A5" s="110" t="s">
        <v>2372</v>
      </c>
      <c r="B5" s="111">
        <v>0</v>
      </c>
      <c r="C5" s="111">
        <v>0</v>
      </c>
      <c r="D5" s="112" t="e">
        <f t="shared" si="0"/>
        <v>#DIV/0!</v>
      </c>
    </row>
    <row r="6" spans="1:4">
      <c r="A6" s="110" t="s">
        <v>2373</v>
      </c>
      <c r="B6" s="111">
        <v>0</v>
      </c>
      <c r="C6" s="111">
        <v>0</v>
      </c>
      <c r="D6" s="112" t="e">
        <f t="shared" si="0"/>
        <v>#DIV/0!</v>
      </c>
    </row>
    <row r="7" spans="1:4">
      <c r="A7" s="110" t="s">
        <v>2374</v>
      </c>
      <c r="B7" s="111">
        <v>0</v>
      </c>
      <c r="C7" s="111">
        <v>0</v>
      </c>
      <c r="D7" s="112" t="e">
        <f t="shared" si="0"/>
        <v>#DIV/0!</v>
      </c>
    </row>
    <row r="8" spans="1:4">
      <c r="A8" s="110" t="s">
        <v>713</v>
      </c>
      <c r="B8" s="111">
        <v>0</v>
      </c>
      <c r="C8" s="111">
        <v>0</v>
      </c>
      <c r="D8" s="112" t="e">
        <f t="shared" si="0"/>
        <v>#DIV/0!</v>
      </c>
    </row>
    <row r="9" spans="1:4" ht="15" thickBot="1">
      <c r="A9" s="110" t="s">
        <v>2384</v>
      </c>
      <c r="B9" s="113">
        <f>SUM(B3:B8)</f>
        <v>0</v>
      </c>
      <c r="C9" s="113">
        <f>SUM(C3:C8)</f>
        <v>0</v>
      </c>
      <c r="D9" s="114" t="e">
        <f t="shared" si="0"/>
        <v>#DIV/0!</v>
      </c>
    </row>
    <row r="10" spans="1:4" ht="15" thickTop="1"/>
  </sheetData>
  <phoneticPr fontId="0"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C5"/>
  <sheetViews>
    <sheetView showGridLines="0" workbookViewId="0">
      <selection activeCell="B14" sqref="B14"/>
    </sheetView>
  </sheetViews>
  <sheetFormatPr defaultRowHeight="14.25"/>
  <cols>
    <col min="1" max="1" width="32.7109375" style="117" bestFit="1" customWidth="1"/>
    <col min="2" max="2" width="2.5703125" style="117" bestFit="1" customWidth="1"/>
    <col min="3" max="3" width="15.7109375" style="117" bestFit="1" customWidth="1"/>
    <col min="4" max="16384" width="9.140625" style="117"/>
  </cols>
  <sheetData>
    <row r="1" spans="1:3">
      <c r="A1" s="117" t="s">
        <v>2381</v>
      </c>
      <c r="B1" s="117" t="s">
        <v>3386</v>
      </c>
      <c r="C1" s="118">
        <v>40365127</v>
      </c>
    </row>
    <row r="2" spans="1:3">
      <c r="A2" s="117" t="s">
        <v>979</v>
      </c>
      <c r="B2" s="117" t="s">
        <v>3386</v>
      </c>
      <c r="C2" s="118">
        <v>2386923</v>
      </c>
    </row>
    <row r="3" spans="1:3">
      <c r="A3" s="117" t="s">
        <v>980</v>
      </c>
      <c r="B3" s="117" t="s">
        <v>3386</v>
      </c>
      <c r="C3" s="118">
        <v>18826978</v>
      </c>
    </row>
    <row r="4" spans="1:3" ht="15.75" thickBot="1">
      <c r="A4" s="121" t="s">
        <v>2384</v>
      </c>
      <c r="B4" s="120" t="s">
        <v>3386</v>
      </c>
      <c r="C4" s="119">
        <f>SUM(C1:C3)</f>
        <v>61579028</v>
      </c>
    </row>
    <row r="5" spans="1:3" ht="15" thickTop="1"/>
  </sheetData>
  <phoneticPr fontId="0"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D10"/>
  <sheetViews>
    <sheetView showGridLines="0" topLeftCell="A4" workbookViewId="0">
      <selection activeCell="B35" sqref="B35"/>
    </sheetView>
  </sheetViews>
  <sheetFormatPr defaultRowHeight="14.25"/>
  <cols>
    <col min="1" max="1" width="23.7109375" style="117" bestFit="1" customWidth="1"/>
    <col min="2" max="2" width="18.85546875" style="117" bestFit="1" customWidth="1"/>
    <col min="3" max="3" width="9.140625" style="117" customWidth="1"/>
    <col min="4" max="4" width="18.85546875" style="117" bestFit="1" customWidth="1"/>
    <col min="5" max="16384" width="9.140625" style="117"/>
  </cols>
  <sheetData>
    <row r="1" spans="1:4" s="122" customFormat="1">
      <c r="B1" s="123" t="s">
        <v>920</v>
      </c>
      <c r="D1" s="123" t="s">
        <v>921</v>
      </c>
    </row>
    <row r="2" spans="1:4">
      <c r="A2" s="117" t="s">
        <v>922</v>
      </c>
      <c r="B2" s="124">
        <v>168458890</v>
      </c>
      <c r="C2" s="124"/>
      <c r="D2" s="124">
        <v>165967594</v>
      </c>
    </row>
    <row r="3" spans="1:4">
      <c r="A3" s="117" t="s">
        <v>923</v>
      </c>
      <c r="B3" s="124">
        <v>82775496</v>
      </c>
      <c r="C3" s="124"/>
      <c r="D3" s="124">
        <v>85148434</v>
      </c>
    </row>
    <row r="4" spans="1:4">
      <c r="A4" s="117" t="s">
        <v>924</v>
      </c>
      <c r="B4" s="124">
        <v>85683394</v>
      </c>
      <c r="C4" s="124"/>
      <c r="D4" s="124">
        <v>80819160</v>
      </c>
    </row>
    <row r="5" spans="1:4">
      <c r="A5" s="117" t="s">
        <v>984</v>
      </c>
      <c r="B5" s="132" t="str">
        <f>ROUND(B2/B3,2)&amp;":1"</f>
        <v>2.04:1</v>
      </c>
      <c r="C5" s="131"/>
      <c r="D5" s="132" t="str">
        <f>ROUND(D2/D3,2)&amp;":1"</f>
        <v>1.95:1</v>
      </c>
    </row>
    <row r="7" spans="1:4">
      <c r="B7" s="123" t="s">
        <v>920</v>
      </c>
      <c r="C7" s="122"/>
      <c r="D7" s="123" t="s">
        <v>921</v>
      </c>
    </row>
    <row r="8" spans="1:4">
      <c r="A8" s="117" t="s">
        <v>925</v>
      </c>
      <c r="B8" s="124">
        <v>550795503</v>
      </c>
      <c r="C8" s="124"/>
      <c r="D8" s="124">
        <v>517100408</v>
      </c>
    </row>
    <row r="9" spans="1:4">
      <c r="A9" s="117" t="s">
        <v>926</v>
      </c>
      <c r="B9" s="124">
        <v>235847500</v>
      </c>
      <c r="C9" s="124"/>
      <c r="D9" s="124">
        <v>224653034</v>
      </c>
    </row>
    <row r="10" spans="1:4">
      <c r="A10" s="117" t="s">
        <v>985</v>
      </c>
      <c r="B10" s="132" t="str">
        <f>ROUND(B8/B9,2)&amp;":1"</f>
        <v>2.34:1</v>
      </c>
      <c r="C10" s="131"/>
      <c r="D10" s="132" t="str">
        <f>ROUND(D8/D9,2)&amp;":1"</f>
        <v>2.3:1</v>
      </c>
    </row>
  </sheetData>
  <phoneticPr fontId="0"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dimension ref="A1:D47"/>
  <sheetViews>
    <sheetView workbookViewId="0">
      <selection activeCell="C20" sqref="C20"/>
    </sheetView>
  </sheetViews>
  <sheetFormatPr defaultColWidth="85.140625" defaultRowHeight="14.25"/>
  <cols>
    <col min="1" max="1" width="13.28515625" style="257" customWidth="1"/>
    <col min="2" max="2" width="4.28515625" style="257" bestFit="1" customWidth="1"/>
    <col min="3" max="3" width="63.85546875" style="256" customWidth="1"/>
    <col min="4" max="4" width="7.85546875" style="256" customWidth="1"/>
    <col min="5" max="16384" width="85.140625" style="256"/>
  </cols>
  <sheetData>
    <row r="1" spans="1:4" ht="15.75" customHeight="1">
      <c r="A1" s="1474" t="s">
        <v>2200</v>
      </c>
      <c r="B1" s="1474"/>
      <c r="C1" s="1474"/>
    </row>
    <row r="3" spans="1:4" ht="17.100000000000001" customHeight="1">
      <c r="A3" s="1471" t="s">
        <v>983</v>
      </c>
      <c r="B3" s="1472"/>
      <c r="C3" s="1473"/>
    </row>
    <row r="4" spans="1:4" ht="17.100000000000001" customHeight="1">
      <c r="A4" s="1471" t="s">
        <v>1602</v>
      </c>
      <c r="B4" s="1472"/>
      <c r="C4" s="1473"/>
    </row>
    <row r="5" spans="1:4" ht="17.100000000000001" customHeight="1">
      <c r="A5" s="1471" t="s">
        <v>2198</v>
      </c>
      <c r="B5" s="1472"/>
      <c r="C5" s="1473"/>
    </row>
    <row r="6" spans="1:4" ht="17.100000000000001" customHeight="1">
      <c r="A6" s="1471" t="s">
        <v>2199</v>
      </c>
      <c r="B6" s="1472"/>
      <c r="C6" s="1473"/>
    </row>
    <row r="7" spans="1:4" ht="17.100000000000001" customHeight="1">
      <c r="A7" s="258" t="s">
        <v>2197</v>
      </c>
      <c r="B7" s="259"/>
      <c r="C7" s="260"/>
    </row>
    <row r="8" spans="1:4">
      <c r="A8" s="261" t="s">
        <v>2201</v>
      </c>
      <c r="B8" s="262" t="s">
        <v>1074</v>
      </c>
      <c r="C8" s="260" t="str">
        <f>'Note 1 Accounting Policy'!_Toc203654196</f>
        <v>ACCOUNTING POLICY</v>
      </c>
    </row>
    <row r="9" spans="1:4">
      <c r="A9" s="261" t="s">
        <v>2202</v>
      </c>
      <c r="B9" s="262" t="s">
        <v>1074</v>
      </c>
      <c r="C9" s="260" t="str">
        <f>'Notes 2 - 9'!B7</f>
        <v>STATUTORY FUNDS &amp; RESERVES</v>
      </c>
      <c r="D9" s="256" t="e">
        <f>+'Notes 2 - 9'!#REF!</f>
        <v>#REF!</v>
      </c>
    </row>
    <row r="10" spans="1:4">
      <c r="A10" s="261" t="s">
        <v>2203</v>
      </c>
      <c r="B10" s="262" t="s">
        <v>1074</v>
      </c>
      <c r="C10" s="260" t="str">
        <f>'Notes 2 - 9'!B17</f>
        <v>RESERVES</v>
      </c>
      <c r="D10" s="256" t="e">
        <f>+'Notes 2 - 9'!#REF!</f>
        <v>#REF!</v>
      </c>
    </row>
    <row r="11" spans="1:4">
      <c r="A11" s="261" t="s">
        <v>2204</v>
      </c>
      <c r="B11" s="262" t="s">
        <v>1074</v>
      </c>
      <c r="C11" s="260" t="str">
        <f>'Notes 2 - 9'!B45</f>
        <v>ACCUMULATED SURPLUS/(DEFICIT)</v>
      </c>
    </row>
    <row r="12" spans="1:4">
      <c r="A12" s="261" t="s">
        <v>2205</v>
      </c>
      <c r="B12" s="262" t="s">
        <v>1074</v>
      </c>
      <c r="C12" s="260" t="str">
        <f>'Notes 2 - 9'!B59</f>
        <v>LONG TERM LIABILITIES</v>
      </c>
    </row>
    <row r="13" spans="1:4">
      <c r="A13" s="261" t="s">
        <v>2206</v>
      </c>
      <c r="B13" s="262" t="s">
        <v>1074</v>
      </c>
      <c r="C13" s="260" t="str">
        <f>'Notes 2 - 9'!B79</f>
        <v>CONSUMER DEPOSITS</v>
      </c>
    </row>
    <row r="14" spans="1:4">
      <c r="A14" s="261" t="s">
        <v>2207</v>
      </c>
      <c r="B14" s="262" t="s">
        <v>1074</v>
      </c>
      <c r="C14" s="260" t="str">
        <f>'Notes 2 - 9'!B92</f>
        <v>PROVISIONS</v>
      </c>
    </row>
    <row r="15" spans="1:4">
      <c r="A15" s="261" t="s">
        <v>2208</v>
      </c>
      <c r="B15" s="262" t="s">
        <v>1074</v>
      </c>
      <c r="C15" s="260" t="str">
        <f>'Notes 2 - 9'!B106</f>
        <v>TRADE AND OTHER PAYABLES</v>
      </c>
    </row>
    <row r="16" spans="1:4">
      <c r="A16" s="261" t="s">
        <v>2209</v>
      </c>
      <c r="B16" s="262" t="s">
        <v>1074</v>
      </c>
      <c r="C16" s="260" t="str">
        <f>'Notes 2 - 9'!B130</f>
        <v>UNSPEND CONDITIONAL GRANTS FROM GOVERNMENT</v>
      </c>
    </row>
    <row r="17" spans="1:3">
      <c r="A17" s="261" t="s">
        <v>2210</v>
      </c>
      <c r="B17" s="262" t="s">
        <v>1074</v>
      </c>
      <c r="C17" s="260" t="str">
        <f>'Note 10'!B4</f>
        <v>PROPERTY, PLANT &amp; EQUIPMENT</v>
      </c>
    </row>
    <row r="18" spans="1:3">
      <c r="A18" s="261" t="s">
        <v>2211</v>
      </c>
      <c r="B18" s="262" t="s">
        <v>1074</v>
      </c>
      <c r="C18" s="260" t="e">
        <f>'Note 11-14'!#REF!</f>
        <v>#REF!</v>
      </c>
    </row>
    <row r="19" spans="1:3">
      <c r="A19" s="261" t="s">
        <v>2212</v>
      </c>
      <c r="B19" s="262" t="s">
        <v>1074</v>
      </c>
      <c r="C19" s="260" t="str">
        <f>'Note 11-14'!B14</f>
        <v>INVESTMENTS</v>
      </c>
    </row>
    <row r="20" spans="1:3">
      <c r="A20" s="261" t="s">
        <v>2213</v>
      </c>
      <c r="B20" s="262" t="s">
        <v>1074</v>
      </c>
      <c r="C20" s="260" t="str">
        <f>'Note 11-14'!B43</f>
        <v>NON CURRENT RECEIVABLES</v>
      </c>
    </row>
    <row r="21" spans="1:3">
      <c r="A21" s="261" t="s">
        <v>2214</v>
      </c>
      <c r="B21" s="262" t="s">
        <v>1074</v>
      </c>
      <c r="C21" s="260" t="str">
        <f>'Note 11-14'!B70</f>
        <v>INVENTORY</v>
      </c>
    </row>
    <row r="22" spans="1:3">
      <c r="A22" s="261" t="s">
        <v>2215</v>
      </c>
      <c r="B22" s="262" t="s">
        <v>1074</v>
      </c>
      <c r="C22" s="260">
        <f>'Note 15'!B4</f>
        <v>0</v>
      </c>
    </row>
    <row r="23" spans="1:3">
      <c r="A23" s="261" t="s">
        <v>2216</v>
      </c>
      <c r="B23" s="262" t="s">
        <v>1074</v>
      </c>
      <c r="C23" s="260" t="str">
        <f>'Note 16, 17'!B8</f>
        <v>OTHER RECEIVABLES</v>
      </c>
    </row>
    <row r="24" spans="1:3">
      <c r="A24" s="261" t="s">
        <v>2217</v>
      </c>
      <c r="B24" s="262" t="s">
        <v>1074</v>
      </c>
      <c r="C24" s="260" t="e">
        <f>'Note 16, 17'!#REF!</f>
        <v>#REF!</v>
      </c>
    </row>
    <row r="25" spans="1:3">
      <c r="A25" s="261" t="s">
        <v>2218</v>
      </c>
      <c r="B25" s="262" t="s">
        <v>1074</v>
      </c>
      <c r="C25" s="260" t="str">
        <f>'Notes 18 - 35'!B5</f>
        <v>PROPERTY RATES</v>
      </c>
    </row>
    <row r="26" spans="1:3">
      <c r="A26" s="261" t="s">
        <v>2219</v>
      </c>
      <c r="B26" s="262" t="s">
        <v>1074</v>
      </c>
      <c r="C26" s="260" t="str">
        <f>'Notes 18 - 35'!B40</f>
        <v>SERVICE CHARGES</v>
      </c>
    </row>
    <row r="27" spans="1:3">
      <c r="A27" s="261" t="s">
        <v>2220</v>
      </c>
      <c r="B27" s="262" t="s">
        <v>1074</v>
      </c>
      <c r="C27" s="260" t="str">
        <f>'Notes 18 - 35'!B50</f>
        <v>GOVERNMENT SUBSIDIES &amp; GRANTS</v>
      </c>
    </row>
    <row r="28" spans="1:3" ht="28.5">
      <c r="A28" s="261" t="s">
        <v>2221</v>
      </c>
      <c r="B28" s="262" t="s">
        <v>1074</v>
      </c>
      <c r="C28" s="260" t="str">
        <f>'Notes 18 - 35'!B150</f>
        <v>PUBLIC CONTRIBUTIONS, DONATED &amp; CONTRIBUTED PROPERTY,  PLANT &amp; EQUIPMENT</v>
      </c>
    </row>
    <row r="29" spans="1:3">
      <c r="A29" s="261" t="s">
        <v>2222</v>
      </c>
      <c r="B29" s="262" t="s">
        <v>1074</v>
      </c>
      <c r="C29" s="260" t="str">
        <f>'Notes 18 - 35'!B158</f>
        <v>EXTERNAL INVESTMENTS</v>
      </c>
    </row>
    <row r="30" spans="1:3">
      <c r="A30" s="261" t="s">
        <v>2223</v>
      </c>
      <c r="B30" s="262" t="s">
        <v>1074</v>
      </c>
      <c r="C30" s="260" t="str">
        <f>'Notes 18 - 35'!B163</f>
        <v>INTEREST OUTSTANDING DEBTORS</v>
      </c>
    </row>
    <row r="31" spans="1:3">
      <c r="A31" s="261" t="s">
        <v>2224</v>
      </c>
      <c r="B31" s="262" t="s">
        <v>1074</v>
      </c>
      <c r="C31" s="260" t="str">
        <f>'Notes 18 - 35'!B178</f>
        <v>OTHER REVENUE</v>
      </c>
    </row>
    <row r="32" spans="1:3">
      <c r="A32" s="261" t="s">
        <v>2225</v>
      </c>
      <c r="B32" s="262" t="s">
        <v>1074</v>
      </c>
      <c r="C32" s="260" t="str">
        <f>'Notes 18 - 35'!B191</f>
        <v>EMPLOYEE RELATED COSTS</v>
      </c>
    </row>
    <row r="33" spans="1:3">
      <c r="A33" s="261" t="s">
        <v>2226</v>
      </c>
      <c r="B33" s="262" t="s">
        <v>1074</v>
      </c>
      <c r="C33" s="260" t="str">
        <f>'Notes 18 - 35'!B239</f>
        <v>REMUNERATION OF COUNCILLORS</v>
      </c>
    </row>
    <row r="34" spans="1:3">
      <c r="A34" s="261" t="s">
        <v>2227</v>
      </c>
      <c r="B34" s="262" t="s">
        <v>1074</v>
      </c>
      <c r="C34" s="260" t="str">
        <f>'Notes 18 - 35'!B257</f>
        <v>FINANCE COST</v>
      </c>
    </row>
    <row r="35" spans="1:3">
      <c r="A35" s="261" t="s">
        <v>2228</v>
      </c>
      <c r="B35" s="262" t="s">
        <v>1074</v>
      </c>
      <c r="C35" s="260" t="str">
        <f>'Notes 18 - 35'!B265</f>
        <v>BULK PURCHASES</v>
      </c>
    </row>
    <row r="36" spans="1:3">
      <c r="A36" s="261" t="s">
        <v>2229</v>
      </c>
      <c r="B36" s="262" t="s">
        <v>1074</v>
      </c>
      <c r="C36" s="260" t="str">
        <f>'Notes 18 - 35'!B275</f>
        <v>GRANT AND SUBSIDIES PAID</v>
      </c>
    </row>
    <row r="37" spans="1:3">
      <c r="A37" s="261" t="s">
        <v>2230</v>
      </c>
      <c r="B37" s="262" t="s">
        <v>1074</v>
      </c>
      <c r="C37" s="260" t="str">
        <f>'Notes 18 - 35'!B286</f>
        <v xml:space="preserve">GENERAL EXPENSES </v>
      </c>
    </row>
    <row r="38" spans="1:3">
      <c r="A38" s="261" t="s">
        <v>2231</v>
      </c>
      <c r="B38" s="262" t="s">
        <v>1074</v>
      </c>
      <c r="C38" s="260" t="str">
        <f>'Notes 18 - 35'!B297</f>
        <v>CORRECTION OF ERROR</v>
      </c>
    </row>
    <row r="39" spans="1:3">
      <c r="A39" s="261" t="s">
        <v>2232</v>
      </c>
      <c r="B39" s="262" t="s">
        <v>1074</v>
      </c>
      <c r="C39" s="260" t="str">
        <f>'Notes 18 - 35'!B308</f>
        <v>CASH GENERATED FROM/(UTILISED IN) OPERATIONS</v>
      </c>
    </row>
    <row r="40" spans="1:3">
      <c r="A40" s="261" t="s">
        <v>2233</v>
      </c>
      <c r="B40" s="262" t="s">
        <v>1074</v>
      </c>
      <c r="C40" s="260" t="str">
        <f>'Notes 18 - 35'!B345</f>
        <v>UTILISATION OF LONG TERM LIABILITIES RECONCILIATION</v>
      </c>
    </row>
    <row r="41" spans="1:3">
      <c r="A41" s="261" t="s">
        <v>2234</v>
      </c>
      <c r="B41" s="262" t="s">
        <v>1074</v>
      </c>
      <c r="C41" s="260" t="str">
        <f>'Notes 18 - 35'!B356</f>
        <v>CAPITAL COMMITMENTS</v>
      </c>
    </row>
    <row r="42" spans="1:3" ht="28.5">
      <c r="A42" s="261" t="s">
        <v>2235</v>
      </c>
      <c r="B42" s="262" t="s">
        <v>1074</v>
      </c>
      <c r="C42" s="260" t="str">
        <f>'Notes 18 - 35'!B382</f>
        <v xml:space="preserve">ADDITIONAL DISCLOSURES IN TERMS OFSECTION 125 OF MUNICIPAL FINANCE MANAGEMENT ACT, 2003 </v>
      </c>
    </row>
    <row r="43" spans="1:3" ht="28.5">
      <c r="A43" s="261" t="s">
        <v>2236</v>
      </c>
      <c r="B43" s="262" t="s">
        <v>1074</v>
      </c>
      <c r="C43" s="260" t="str">
        <f>'Note 35 (Continue..) - 36'!B31</f>
        <v>CERTIFICATION AND APPROVAL BY THE ACCOUNTING OFFICER</v>
      </c>
    </row>
    <row r="44" spans="1:3">
      <c r="A44" s="261" t="s">
        <v>2237</v>
      </c>
      <c r="B44" s="262" t="s">
        <v>1074</v>
      </c>
      <c r="C44" s="260" t="str">
        <f>'Note 37'!B7</f>
        <v>INVESTMENT PROPERTY</v>
      </c>
    </row>
    <row r="45" spans="1:3" ht="28.5">
      <c r="A45" s="261" t="s">
        <v>2238</v>
      </c>
      <c r="B45" s="262" t="s">
        <v>1074</v>
      </c>
      <c r="C45" s="260" t="str">
        <f>'Note 38'!C5</f>
        <v>CHANGE IN ACCOUNTING POLICY - IMPLEMENTATION OF GAMAP</v>
      </c>
    </row>
    <row r="46" spans="1:3">
      <c r="A46" s="261" t="s">
        <v>2239</v>
      </c>
      <c r="B46" s="262" t="s">
        <v>1074</v>
      </c>
      <c r="C46" s="260" t="str">
        <f>'Note 39 -42'!B5</f>
        <v>CONTINGENT LIABILITIES</v>
      </c>
    </row>
    <row r="47" spans="1:3">
      <c r="A47" s="261" t="s">
        <v>2240</v>
      </c>
      <c r="B47" s="262" t="s">
        <v>1074</v>
      </c>
      <c r="C47" s="260" t="str">
        <f>'Note 39 -42'!B14</f>
        <v>CONTINGENT ASSETS</v>
      </c>
    </row>
  </sheetData>
  <mergeCells count="5">
    <mergeCell ref="A6:C6"/>
    <mergeCell ref="A1:C1"/>
    <mergeCell ref="A3:C3"/>
    <mergeCell ref="A4:C4"/>
    <mergeCell ref="A5:C5"/>
  </mergeCells>
  <phoneticPr fontId="34"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pageSetUpPr fitToPage="1"/>
  </sheetPr>
  <dimension ref="A1:D53"/>
  <sheetViews>
    <sheetView view="pageBreakPreview" zoomScaleSheetLayoutView="100" workbookViewId="0">
      <selection activeCell="A19" sqref="A19"/>
    </sheetView>
  </sheetViews>
  <sheetFormatPr defaultRowHeight="15"/>
  <cols>
    <col min="2" max="2" width="32.5703125" bestFit="1" customWidth="1"/>
    <col min="3" max="3" width="22.42578125" bestFit="1" customWidth="1"/>
    <col min="4" max="4" width="19.7109375" customWidth="1"/>
  </cols>
  <sheetData>
    <row r="1" spans="1:4" ht="16.5" thickBot="1">
      <c r="A1" s="531"/>
      <c r="B1" s="532"/>
      <c r="C1" s="532"/>
      <c r="D1" s="533"/>
    </row>
    <row r="2" spans="1:4" ht="16.5" thickTop="1">
      <c r="A2" s="531"/>
      <c r="B2" s="534"/>
      <c r="C2" s="535"/>
      <c r="D2" s="536"/>
    </row>
    <row r="3" spans="1:4" ht="15.75">
      <c r="A3" s="531"/>
      <c r="B3" s="1312" t="s">
        <v>1400</v>
      </c>
      <c r="C3" s="1313"/>
      <c r="D3" s="1314"/>
    </row>
    <row r="4" spans="1:4" ht="16.5" thickBot="1">
      <c r="A4" s="531"/>
      <c r="B4" s="537"/>
      <c r="C4" s="538"/>
      <c r="D4" s="539"/>
    </row>
    <row r="5" spans="1:4" ht="16.5" thickTop="1">
      <c r="A5" s="531"/>
      <c r="B5" s="532"/>
      <c r="C5" s="532"/>
      <c r="D5" s="532"/>
    </row>
    <row r="6" spans="1:4" ht="15.75">
      <c r="A6" s="531"/>
      <c r="B6" s="532"/>
      <c r="C6" s="532"/>
      <c r="D6" s="532"/>
    </row>
    <row r="7" spans="1:4" ht="15.75">
      <c r="A7" s="531"/>
      <c r="B7" s="540" t="s">
        <v>2141</v>
      </c>
      <c r="C7" s="532"/>
      <c r="D7" s="532"/>
    </row>
    <row r="8" spans="1:4" ht="15.75">
      <c r="A8" s="531"/>
      <c r="B8" s="532" t="s">
        <v>806</v>
      </c>
      <c r="C8" s="541" t="s">
        <v>1401</v>
      </c>
      <c r="D8" s="532"/>
    </row>
    <row r="9" spans="1:4" ht="15.75">
      <c r="A9" s="531"/>
      <c r="B9" s="532" t="s">
        <v>1402</v>
      </c>
      <c r="C9" s="541" t="s">
        <v>1403</v>
      </c>
      <c r="D9" s="532" t="s">
        <v>55</v>
      </c>
    </row>
    <row r="10" spans="1:4" ht="15.75">
      <c r="A10" s="531"/>
      <c r="B10" s="532" t="s">
        <v>1402</v>
      </c>
      <c r="C10" s="541" t="s">
        <v>1404</v>
      </c>
      <c r="D10" s="532" t="s">
        <v>55</v>
      </c>
    </row>
    <row r="11" spans="1:4" ht="15.75">
      <c r="A11" s="531"/>
      <c r="B11" s="532" t="s">
        <v>1402</v>
      </c>
      <c r="C11" s="541" t="s">
        <v>1405</v>
      </c>
      <c r="D11" s="532" t="s">
        <v>55</v>
      </c>
    </row>
    <row r="12" spans="1:4" ht="15.75">
      <c r="A12" s="531"/>
      <c r="B12" s="532" t="s">
        <v>1402</v>
      </c>
      <c r="C12" s="541" t="s">
        <v>1406</v>
      </c>
      <c r="D12" s="532" t="s">
        <v>55</v>
      </c>
    </row>
    <row r="13" spans="1:4" ht="15.75">
      <c r="A13" s="531"/>
      <c r="B13" s="532" t="s">
        <v>1402</v>
      </c>
      <c r="C13" s="541" t="s">
        <v>1407</v>
      </c>
      <c r="D13" s="532" t="s">
        <v>55</v>
      </c>
    </row>
    <row r="14" spans="1:4" ht="15.75">
      <c r="A14" s="531"/>
      <c r="B14" s="532" t="s">
        <v>1402</v>
      </c>
      <c r="C14" s="531" t="s">
        <v>1408</v>
      </c>
      <c r="D14" s="532" t="s">
        <v>55</v>
      </c>
    </row>
    <row r="15" spans="1:4" ht="15.75">
      <c r="A15" s="531"/>
      <c r="B15" s="532" t="s">
        <v>1402</v>
      </c>
      <c r="C15" s="541" t="s">
        <v>1409</v>
      </c>
      <c r="D15" s="532"/>
    </row>
    <row r="16" spans="1:4" ht="15.75">
      <c r="A16" s="531"/>
      <c r="B16" s="532" t="s">
        <v>1402</v>
      </c>
      <c r="C16" s="541" t="s">
        <v>1410</v>
      </c>
      <c r="D16" s="532" t="s">
        <v>55</v>
      </c>
    </row>
    <row r="17" spans="1:4" ht="15.75">
      <c r="A17" s="531"/>
      <c r="B17" s="532" t="s">
        <v>1402</v>
      </c>
      <c r="C17" s="541" t="s">
        <v>1411</v>
      </c>
      <c r="D17" s="532"/>
    </row>
    <row r="18" spans="1:4" ht="15.75">
      <c r="A18" s="531"/>
      <c r="B18" s="532" t="s">
        <v>1402</v>
      </c>
      <c r="C18" s="532" t="s">
        <v>1412</v>
      </c>
      <c r="D18" s="532"/>
    </row>
    <row r="19" spans="1:4" ht="15.75">
      <c r="A19" s="531"/>
      <c r="B19" s="532"/>
      <c r="C19" s="532"/>
      <c r="D19" s="532"/>
    </row>
    <row r="20" spans="1:4" ht="15.75">
      <c r="A20" s="531"/>
      <c r="B20" s="540" t="s">
        <v>1413</v>
      </c>
      <c r="C20" s="532"/>
      <c r="D20" s="532"/>
    </row>
    <row r="21" spans="1:4" ht="15.75">
      <c r="A21" s="531"/>
      <c r="B21" s="532" t="s">
        <v>1414</v>
      </c>
      <c r="C21" s="532"/>
      <c r="D21" s="532"/>
    </row>
    <row r="22" spans="1:4" ht="15.75">
      <c r="A22" s="531"/>
      <c r="B22" s="532"/>
      <c r="C22" s="532"/>
      <c r="D22" s="532"/>
    </row>
    <row r="23" spans="1:4" ht="15.75">
      <c r="A23" s="531"/>
      <c r="B23" s="532"/>
      <c r="C23" s="532"/>
      <c r="D23" s="532"/>
    </row>
    <row r="24" spans="1:4" ht="15.75">
      <c r="A24" s="531"/>
      <c r="B24" s="540" t="s">
        <v>1415</v>
      </c>
      <c r="C24" s="532"/>
      <c r="D24" s="532"/>
    </row>
    <row r="25" spans="1:4" ht="15.75">
      <c r="A25" s="531"/>
      <c r="B25" s="532" t="s">
        <v>1416</v>
      </c>
      <c r="C25" s="532"/>
      <c r="D25" s="532"/>
    </row>
    <row r="26" spans="1:4" ht="15.75">
      <c r="A26" s="531"/>
      <c r="B26" s="532"/>
      <c r="C26" s="532"/>
      <c r="D26" s="532"/>
    </row>
    <row r="27" spans="1:4" ht="15.75">
      <c r="A27" s="531"/>
      <c r="B27" s="532"/>
      <c r="C27" s="532"/>
      <c r="D27" s="532"/>
    </row>
    <row r="28" spans="1:4" ht="15.75">
      <c r="A28" s="531"/>
      <c r="B28" s="540" t="s">
        <v>1417</v>
      </c>
      <c r="C28" s="532"/>
      <c r="D28" s="532"/>
    </row>
    <row r="29" spans="1:4" ht="15.75">
      <c r="A29" s="531"/>
      <c r="B29" s="532" t="s">
        <v>1418</v>
      </c>
      <c r="C29" s="532"/>
      <c r="D29" s="532"/>
    </row>
    <row r="30" spans="1:4" ht="15.75">
      <c r="A30" s="531"/>
      <c r="B30" s="532"/>
      <c r="C30" s="532"/>
      <c r="D30" s="532"/>
    </row>
    <row r="31" spans="1:4" ht="15.75">
      <c r="A31" s="531"/>
      <c r="B31" s="532"/>
      <c r="C31" s="532"/>
      <c r="D31" s="532"/>
    </row>
    <row r="32" spans="1:4" ht="15.75">
      <c r="A32" s="531"/>
      <c r="B32" s="540" t="s">
        <v>1419</v>
      </c>
      <c r="C32" s="532"/>
      <c r="D32" s="532"/>
    </row>
    <row r="33" spans="1:4" ht="15.75">
      <c r="A33" s="531"/>
      <c r="B33" s="532" t="s">
        <v>1420</v>
      </c>
      <c r="C33" s="532"/>
      <c r="D33" s="532"/>
    </row>
    <row r="34" spans="1:4" ht="15.75">
      <c r="A34" s="531"/>
      <c r="B34" s="532" t="s">
        <v>0</v>
      </c>
      <c r="C34" s="532"/>
      <c r="D34" s="532"/>
    </row>
    <row r="35" spans="1:4" ht="15.75">
      <c r="A35" s="531"/>
      <c r="B35" s="532" t="s">
        <v>76</v>
      </c>
      <c r="C35" s="532"/>
      <c r="D35" s="532"/>
    </row>
    <row r="36" spans="1:4" ht="15.75">
      <c r="A36" s="531"/>
      <c r="B36" s="532" t="s">
        <v>1</v>
      </c>
      <c r="C36" s="532"/>
      <c r="D36" s="532"/>
    </row>
    <row r="37" spans="1:4" ht="15.75">
      <c r="A37" s="531"/>
      <c r="B37" s="532"/>
      <c r="C37" s="532"/>
      <c r="D37" s="532"/>
    </row>
    <row r="38" spans="1:4" ht="15.75">
      <c r="A38" s="531"/>
      <c r="B38" s="532" t="s">
        <v>2</v>
      </c>
      <c r="C38" s="532"/>
      <c r="D38" s="532"/>
    </row>
    <row r="39" spans="1:4" ht="15.75">
      <c r="A39" s="531"/>
      <c r="B39" s="532" t="s">
        <v>76</v>
      </c>
      <c r="C39" s="532"/>
      <c r="D39" s="532"/>
    </row>
    <row r="40" spans="1:4" ht="15.75">
      <c r="A40" s="531"/>
      <c r="B40" s="532" t="s">
        <v>1</v>
      </c>
      <c r="C40" s="532"/>
      <c r="D40" s="532"/>
    </row>
    <row r="41" spans="1:4" ht="15.75">
      <c r="A41" s="531"/>
      <c r="B41" s="532"/>
      <c r="C41" s="532"/>
      <c r="D41" s="532"/>
    </row>
    <row r="42" spans="1:4" ht="15.75">
      <c r="A42" s="531"/>
      <c r="B42" s="532" t="s">
        <v>3</v>
      </c>
      <c r="C42" s="532" t="s">
        <v>4</v>
      </c>
      <c r="D42" s="532"/>
    </row>
    <row r="43" spans="1:4" ht="15.75">
      <c r="A43" s="531"/>
      <c r="B43" s="532" t="s">
        <v>5</v>
      </c>
      <c r="C43" s="532" t="s">
        <v>6</v>
      </c>
      <c r="D43" s="532"/>
    </row>
    <row r="44" spans="1:4" ht="15.75">
      <c r="A44" s="531"/>
      <c r="B44" s="532"/>
      <c r="C44" s="532"/>
      <c r="D44" s="532"/>
    </row>
    <row r="45" spans="1:4" ht="15.75">
      <c r="A45" s="531"/>
      <c r="B45" s="532"/>
      <c r="C45" s="532"/>
      <c r="D45" s="532"/>
    </row>
    <row r="46" spans="1:4" ht="15.75">
      <c r="A46" s="531"/>
      <c r="B46" s="542" t="s">
        <v>7</v>
      </c>
      <c r="C46" s="543"/>
      <c r="D46" s="543"/>
    </row>
    <row r="47" spans="1:4" ht="15.75">
      <c r="A47" s="531"/>
      <c r="B47" s="543" t="s">
        <v>8</v>
      </c>
      <c r="C47" s="543"/>
      <c r="D47" s="543"/>
    </row>
    <row r="48" spans="1:4" ht="15.75">
      <c r="A48" s="531"/>
      <c r="B48" s="543"/>
      <c r="C48" s="543"/>
      <c r="D48" s="543"/>
    </row>
    <row r="49" spans="1:4" ht="15.75">
      <c r="A49" s="531"/>
      <c r="B49" s="532"/>
      <c r="C49" s="532"/>
      <c r="D49" s="532"/>
    </row>
    <row r="50" spans="1:4" ht="15.75">
      <c r="A50" s="531"/>
      <c r="B50" s="540" t="s">
        <v>9</v>
      </c>
      <c r="C50" s="532"/>
      <c r="D50" s="532"/>
    </row>
    <row r="51" spans="1:4" ht="15.75">
      <c r="A51" s="531"/>
      <c r="B51" s="532" t="s">
        <v>1576</v>
      </c>
      <c r="C51" s="532"/>
      <c r="D51" s="532"/>
    </row>
    <row r="52" spans="1:4" ht="15.75">
      <c r="A52" s="531"/>
      <c r="B52" s="532" t="s">
        <v>10</v>
      </c>
      <c r="C52" s="532"/>
      <c r="D52" s="532"/>
    </row>
    <row r="53" spans="1:4" ht="15.75">
      <c r="A53" s="531"/>
      <c r="B53" s="532" t="s">
        <v>11</v>
      </c>
      <c r="C53" s="532"/>
      <c r="D53" s="532"/>
    </row>
  </sheetData>
  <mergeCells count="1">
    <mergeCell ref="B3:D3"/>
  </mergeCells>
  <phoneticPr fontId="34" type="noConversion"/>
  <printOptions horizontalCentered="1"/>
  <pageMargins left="0.70866141732283472" right="0.70866141732283472" top="0.74803149606299213" bottom="0.74803149606299213" header="0.31496062992125984" footer="0.31496062992125984"/>
  <pageSetup paperSize="9" scale="90" orientation="portrait" r:id="rId1"/>
  <headerFooter>
    <oddFooter>&amp;C&amp;P</oddFooter>
  </headerFooter>
</worksheet>
</file>

<file path=xl/worksheets/sheet5.xml><?xml version="1.0" encoding="utf-8"?>
<worksheet xmlns="http://schemas.openxmlformats.org/spreadsheetml/2006/main" xmlns:r="http://schemas.openxmlformats.org/officeDocument/2006/relationships">
  <dimension ref="A1:V50"/>
  <sheetViews>
    <sheetView view="pageBreakPreview" topLeftCell="A4" zoomScaleSheetLayoutView="100" workbookViewId="0">
      <selection activeCell="A19" sqref="A19"/>
    </sheetView>
  </sheetViews>
  <sheetFormatPr defaultRowHeight="12.75"/>
  <cols>
    <col min="1" max="1" width="36.7109375" style="728" bestFit="1" customWidth="1"/>
    <col min="2" max="2" width="9.28515625" style="725" bestFit="1" customWidth="1"/>
    <col min="3" max="3" width="21.28515625" style="716" bestFit="1" customWidth="1"/>
    <col min="4" max="4" width="6.140625" style="716" bestFit="1" customWidth="1"/>
    <col min="5" max="5" width="20.140625" style="716" bestFit="1" customWidth="1"/>
    <col min="6" max="6" width="3" style="728" customWidth="1"/>
    <col min="7" max="7" width="5.42578125" style="727" hidden="1" customWidth="1"/>
    <col min="8" max="8" width="14" style="716" bestFit="1" customWidth="1"/>
    <col min="9" max="9" width="13.5703125" style="716" bestFit="1" customWidth="1"/>
    <col min="10" max="11" width="12.28515625" style="716" bestFit="1" customWidth="1"/>
    <col min="12" max="13" width="11.28515625" style="727" bestFit="1" customWidth="1"/>
    <col min="14" max="14" width="9.28515625" style="727" bestFit="1" customWidth="1"/>
    <col min="15" max="17" width="9.140625" style="727" customWidth="1"/>
    <col min="18" max="16384" width="9.140625" style="728"/>
  </cols>
  <sheetData>
    <row r="1" spans="1:21" s="722" customFormat="1" ht="15.75">
      <c r="A1" s="1315" t="s">
        <v>983</v>
      </c>
      <c r="B1" s="1316"/>
      <c r="C1" s="1316"/>
      <c r="D1" s="1316"/>
      <c r="E1" s="1316"/>
      <c r="F1" s="717"/>
      <c r="G1" s="718"/>
      <c r="H1" s="719"/>
      <c r="I1" s="720"/>
      <c r="J1" s="720"/>
      <c r="K1" s="720"/>
      <c r="L1" s="721"/>
      <c r="M1" s="718"/>
      <c r="N1" s="718"/>
      <c r="O1" s="718"/>
      <c r="P1" s="718"/>
      <c r="Q1" s="718"/>
    </row>
    <row r="2" spans="1:21" s="722" customFormat="1" ht="15.75">
      <c r="A2" s="1317" t="s">
        <v>1601</v>
      </c>
      <c r="B2" s="1318"/>
      <c r="C2" s="1318"/>
      <c r="D2" s="1318"/>
      <c r="E2" s="1318"/>
      <c r="F2" s="723"/>
      <c r="G2" s="718"/>
      <c r="H2" s="716"/>
      <c r="I2" s="716"/>
      <c r="J2" s="716"/>
      <c r="K2" s="720"/>
      <c r="L2" s="721"/>
      <c r="M2" s="718"/>
      <c r="N2" s="718"/>
      <c r="O2" s="718"/>
      <c r="P2" s="718"/>
      <c r="Q2" s="718"/>
    </row>
    <row r="3" spans="1:21" s="722" customFormat="1" ht="15.75">
      <c r="A3" s="1319" t="s">
        <v>3100</v>
      </c>
      <c r="B3" s="1320"/>
      <c r="C3" s="1320"/>
      <c r="D3" s="1320"/>
      <c r="E3" s="1320"/>
      <c r="F3" s="723"/>
      <c r="G3" s="718"/>
      <c r="H3" s="716"/>
      <c r="I3" s="716"/>
      <c r="J3" s="716"/>
      <c r="K3" s="720"/>
      <c r="L3" s="721"/>
      <c r="M3" s="718"/>
      <c r="N3" s="718"/>
      <c r="O3" s="718"/>
      <c r="P3" s="718"/>
      <c r="Q3" s="718"/>
    </row>
    <row r="4" spans="1:21">
      <c r="A4" s="724"/>
      <c r="F4" s="726"/>
    </row>
    <row r="5" spans="1:21">
      <c r="A5" s="724"/>
      <c r="F5" s="726"/>
      <c r="I5" s="729"/>
    </row>
    <row r="6" spans="1:21">
      <c r="A6" s="724"/>
      <c r="C6" s="730" t="s">
        <v>2241</v>
      </c>
      <c r="D6" s="731"/>
      <c r="E6" s="730" t="s">
        <v>3558</v>
      </c>
      <c r="F6" s="726"/>
      <c r="G6" s="727" t="s">
        <v>981</v>
      </c>
      <c r="H6" s="727"/>
      <c r="I6" s="729"/>
      <c r="L6" s="716"/>
      <c r="M6" s="716"/>
      <c r="R6" s="727"/>
      <c r="S6" s="727"/>
    </row>
    <row r="7" spans="1:21">
      <c r="A7" s="724"/>
      <c r="B7" s="732" t="s">
        <v>1600</v>
      </c>
      <c r="C7" s="731" t="s">
        <v>3386</v>
      </c>
      <c r="D7" s="731"/>
      <c r="E7" s="731" t="s">
        <v>3386</v>
      </c>
      <c r="F7" s="726"/>
      <c r="H7" s="727"/>
      <c r="I7" s="727"/>
      <c r="J7" s="733"/>
      <c r="K7" s="733"/>
      <c r="L7" s="733"/>
      <c r="M7" s="716"/>
      <c r="R7" s="727"/>
      <c r="S7" s="727"/>
    </row>
    <row r="8" spans="1:21">
      <c r="A8" s="734" t="s">
        <v>927</v>
      </c>
      <c r="F8" s="726"/>
      <c r="H8" s="727"/>
      <c r="I8" s="727"/>
      <c r="L8" s="716"/>
      <c r="M8" s="716"/>
      <c r="R8" s="727"/>
      <c r="S8" s="727"/>
    </row>
    <row r="9" spans="1:21" s="738" customFormat="1">
      <c r="A9" s="734" t="s">
        <v>928</v>
      </c>
      <c r="B9" s="732"/>
      <c r="C9" s="735">
        <f>SUM(C10:C14)</f>
        <v>111011652.60999997</v>
      </c>
      <c r="D9" s="733"/>
      <c r="E9" s="735">
        <f>SUM(E10:E14)</f>
        <v>20720447.019999988</v>
      </c>
      <c r="F9" s="736"/>
      <c r="G9" s="737"/>
      <c r="H9" s="733"/>
      <c r="I9" s="733"/>
      <c r="J9" s="716"/>
      <c r="K9" s="716"/>
      <c r="L9" s="716"/>
      <c r="M9" s="733"/>
      <c r="N9" s="737"/>
      <c r="O9" s="737"/>
      <c r="P9" s="737"/>
      <c r="Q9" s="737"/>
      <c r="R9" s="737"/>
      <c r="S9" s="737"/>
    </row>
    <row r="10" spans="1:21">
      <c r="A10" s="724" t="s">
        <v>930</v>
      </c>
      <c r="B10" s="725">
        <v>3</v>
      </c>
      <c r="C10" s="739">
        <f>-SUM('Notes 2 - 9'!D20)</f>
        <v>5542919.1299999999</v>
      </c>
      <c r="E10" s="739">
        <f>-'Notes 2 - 9'!H20</f>
        <v>3439196.5</v>
      </c>
      <c r="F10" s="726"/>
      <c r="G10" s="727" t="s">
        <v>574</v>
      </c>
      <c r="H10" s="727">
        <f t="shared" ref="H10:H15" si="0">C10-E10</f>
        <v>2103722.63</v>
      </c>
      <c r="I10" s="727">
        <v>2103722.63</v>
      </c>
      <c r="L10" s="716"/>
      <c r="M10" s="716"/>
      <c r="R10" s="727"/>
      <c r="S10" s="727"/>
    </row>
    <row r="11" spans="1:21">
      <c r="A11" s="724" t="s">
        <v>2999</v>
      </c>
      <c r="B11" s="725">
        <v>2</v>
      </c>
      <c r="C11" s="739">
        <f>'Notes 2 - 9'!D7</f>
        <v>-0.21999999944819137</v>
      </c>
      <c r="E11" s="739">
        <f>-'Notes 2 - 9'!H7</f>
        <v>1023150.2299999993</v>
      </c>
      <c r="F11" s="726"/>
      <c r="H11" s="727">
        <f t="shared" si="0"/>
        <v>-1023150.4499999988</v>
      </c>
      <c r="I11" s="727">
        <v>-1023150.46</v>
      </c>
      <c r="L11" s="716"/>
      <c r="M11" s="716"/>
      <c r="N11" s="716"/>
      <c r="R11" s="727"/>
      <c r="S11" s="727"/>
      <c r="T11" s="727"/>
      <c r="U11" s="727"/>
    </row>
    <row r="12" spans="1:21">
      <c r="A12" s="724" t="s">
        <v>931</v>
      </c>
      <c r="B12" s="725">
        <v>3</v>
      </c>
      <c r="C12" s="739">
        <f>-SUM('Notes 2 - 9'!D28)</f>
        <v>319.99</v>
      </c>
      <c r="E12" s="739">
        <f>-'Notes 2 - 9'!H28</f>
        <v>639.99</v>
      </c>
      <c r="F12" s="726"/>
      <c r="G12" s="727" t="s">
        <v>574</v>
      </c>
      <c r="H12" s="727">
        <f t="shared" si="0"/>
        <v>-320</v>
      </c>
      <c r="I12" s="727">
        <v>-320</v>
      </c>
      <c r="L12" s="716"/>
      <c r="M12" s="716"/>
      <c r="N12" s="716"/>
      <c r="R12" s="727"/>
      <c r="S12" s="727"/>
      <c r="T12" s="727"/>
      <c r="U12" s="727"/>
    </row>
    <row r="13" spans="1:21">
      <c r="A13" s="724" t="s">
        <v>2382</v>
      </c>
      <c r="B13" s="725">
        <v>3</v>
      </c>
      <c r="C13" s="739">
        <f>SUM('Notes 2 - 9'!D36)</f>
        <v>82528503</v>
      </c>
      <c r="E13" s="739">
        <v>0</v>
      </c>
      <c r="F13" s="726"/>
      <c r="H13" s="727">
        <f t="shared" si="0"/>
        <v>82528503</v>
      </c>
      <c r="I13" s="727"/>
      <c r="L13" s="716"/>
      <c r="M13" s="716"/>
      <c r="N13" s="716"/>
      <c r="R13" s="727"/>
      <c r="S13" s="727"/>
      <c r="T13" s="727"/>
      <c r="U13" s="727"/>
    </row>
    <row r="14" spans="1:21">
      <c r="A14" s="724" t="s">
        <v>932</v>
      </c>
      <c r="B14" s="725">
        <v>4</v>
      </c>
      <c r="C14" s="740">
        <f>-SUM('Notes 2 - 9'!D54)</f>
        <v>22939910.709999964</v>
      </c>
      <c r="E14" s="740">
        <f>-SUM('Notes 2 - 9'!H54)</f>
        <v>16257460.29999999</v>
      </c>
      <c r="F14" s="726"/>
      <c r="G14" s="727" t="s">
        <v>574</v>
      </c>
      <c r="H14" s="727">
        <f t="shared" si="0"/>
        <v>6682450.4099999741</v>
      </c>
      <c r="I14" s="727">
        <v>3293001.18</v>
      </c>
      <c r="L14" s="733"/>
      <c r="M14" s="733"/>
      <c r="N14" s="716"/>
      <c r="R14" s="727"/>
      <c r="S14" s="727"/>
      <c r="T14" s="727"/>
    </row>
    <row r="15" spans="1:21">
      <c r="A15" s="734"/>
      <c r="F15" s="726"/>
      <c r="H15" s="727">
        <f t="shared" si="0"/>
        <v>0</v>
      </c>
      <c r="I15" s="727"/>
      <c r="L15" s="716"/>
      <c r="M15" s="716"/>
      <c r="N15" s="716"/>
      <c r="R15" s="727"/>
      <c r="S15" s="727"/>
      <c r="T15" s="727"/>
    </row>
    <row r="16" spans="1:21" s="738" customFormat="1">
      <c r="A16" s="734" t="s">
        <v>933</v>
      </c>
      <c r="B16" s="732"/>
      <c r="C16" s="733">
        <f>SUM(C17:C18)</f>
        <v>9333046.6600000001</v>
      </c>
      <c r="D16" s="733"/>
      <c r="E16" s="733">
        <f>SUM(E17:E18)</f>
        <v>7430394.6799999997</v>
      </c>
      <c r="F16" s="736"/>
      <c r="G16" s="727">
        <f>+C16+C25-E16-E25</f>
        <v>2049933.0899999999</v>
      </c>
      <c r="H16" s="727"/>
      <c r="I16" s="727"/>
      <c r="J16" s="716"/>
      <c r="K16" s="716"/>
      <c r="L16" s="716"/>
      <c r="M16" s="716"/>
      <c r="N16" s="733"/>
      <c r="O16" s="737"/>
      <c r="P16" s="737"/>
      <c r="Q16" s="737"/>
      <c r="R16" s="737"/>
      <c r="S16" s="737"/>
      <c r="T16" s="737"/>
    </row>
    <row r="17" spans="1:22">
      <c r="A17" s="724" t="s">
        <v>934</v>
      </c>
      <c r="B17" s="725">
        <v>5</v>
      </c>
      <c r="C17" s="741">
        <f>'Notes 2 - 9'!D66</f>
        <v>9333046.6600000001</v>
      </c>
      <c r="E17" s="741">
        <f>'Notes 2 - 9'!H66</f>
        <v>7430394.6799999997</v>
      </c>
      <c r="F17" s="726"/>
      <c r="G17" s="727">
        <f>+C17-E17</f>
        <v>1902651.9800000004</v>
      </c>
      <c r="H17" s="1031">
        <f t="shared" ref="H17:H26" si="1">C17-E17</f>
        <v>1902651.9800000004</v>
      </c>
      <c r="I17" s="727"/>
      <c r="L17" s="716"/>
      <c r="M17" s="716"/>
      <c r="N17" s="716"/>
      <c r="R17" s="727"/>
      <c r="S17" s="727"/>
      <c r="T17" s="727"/>
    </row>
    <row r="18" spans="1:22">
      <c r="A18" s="724" t="s">
        <v>935</v>
      </c>
      <c r="B18" s="725">
        <v>5</v>
      </c>
      <c r="C18" s="740">
        <f>'Notes 2 - 9'!D74</f>
        <v>0</v>
      </c>
      <c r="E18" s="740">
        <f>'Notes 2 - 9'!H74</f>
        <v>0</v>
      </c>
      <c r="F18" s="726"/>
      <c r="G18" s="727">
        <f t="shared" ref="G18:G44" si="2">+C18-E18</f>
        <v>0</v>
      </c>
      <c r="H18" s="727">
        <f t="shared" si="1"/>
        <v>0</v>
      </c>
      <c r="I18" s="727"/>
      <c r="L18" s="733"/>
      <c r="M18" s="733"/>
      <c r="N18" s="716"/>
      <c r="R18" s="727"/>
      <c r="S18" s="727"/>
      <c r="T18" s="727"/>
    </row>
    <row r="19" spans="1:22">
      <c r="A19" s="734"/>
      <c r="F19" s="726"/>
      <c r="G19" s="727">
        <f t="shared" si="2"/>
        <v>0</v>
      </c>
      <c r="H19" s="727">
        <f t="shared" si="1"/>
        <v>0</v>
      </c>
      <c r="I19" s="727"/>
      <c r="L19" s="716"/>
      <c r="M19" s="716"/>
      <c r="N19" s="716"/>
      <c r="R19" s="727"/>
      <c r="S19" s="727"/>
      <c r="T19" s="727"/>
    </row>
    <row r="20" spans="1:22" s="738" customFormat="1">
      <c r="A20" s="734" t="s">
        <v>923</v>
      </c>
      <c r="B20" s="732"/>
      <c r="C20" s="733">
        <f>SUM(C21:C25)</f>
        <v>23621111.659999996</v>
      </c>
      <c r="D20" s="733"/>
      <c r="E20" s="733">
        <f>SUM(E21:E25)</f>
        <v>18360331.709999997</v>
      </c>
      <c r="F20" s="736"/>
      <c r="G20" s="727">
        <f t="shared" si="2"/>
        <v>5260779.9499999993</v>
      </c>
      <c r="H20" s="727">
        <f t="shared" si="1"/>
        <v>5260779.9499999993</v>
      </c>
      <c r="I20" s="727"/>
      <c r="J20" s="716"/>
      <c r="K20" s="716"/>
      <c r="L20" s="716"/>
      <c r="M20" s="716"/>
      <c r="N20" s="733"/>
      <c r="O20" s="737"/>
      <c r="P20" s="737"/>
      <c r="Q20" s="737"/>
      <c r="R20" s="737"/>
      <c r="S20" s="737"/>
      <c r="T20" s="737"/>
    </row>
    <row r="21" spans="1:22">
      <c r="A21" s="724" t="s">
        <v>936</v>
      </c>
      <c r="B21" s="725">
        <v>6</v>
      </c>
      <c r="C21" s="741">
        <f>'Notes 2 - 9'!D85</f>
        <v>1561547.4</v>
      </c>
      <c r="E21" s="741">
        <f>'Notes 2 - 9'!H85</f>
        <v>1327936.83</v>
      </c>
      <c r="F21" s="726"/>
      <c r="G21" s="727">
        <f t="shared" si="2"/>
        <v>233610.56999999983</v>
      </c>
      <c r="H21" s="1031">
        <f t="shared" si="1"/>
        <v>233610.56999999983</v>
      </c>
      <c r="I21" s="727"/>
      <c r="L21" s="716"/>
      <c r="M21" s="716"/>
      <c r="N21" s="716"/>
      <c r="R21" s="727"/>
      <c r="S21" s="727"/>
      <c r="T21" s="727"/>
    </row>
    <row r="22" spans="1:22">
      <c r="A22" s="724" t="s">
        <v>937</v>
      </c>
      <c r="B22" s="725">
        <v>7</v>
      </c>
      <c r="C22" s="739">
        <f>-SUM('Notes 2 - 9'!D92)</f>
        <v>233875.09</v>
      </c>
      <c r="E22" s="739">
        <f>-'Notes 2 - 9'!H92</f>
        <v>31894.93</v>
      </c>
      <c r="F22" s="726"/>
      <c r="G22" s="727">
        <f t="shared" si="2"/>
        <v>201980.16</v>
      </c>
      <c r="H22" s="727">
        <f t="shared" si="1"/>
        <v>201980.16</v>
      </c>
      <c r="I22" s="727">
        <v>201980.16</v>
      </c>
      <c r="L22" s="716"/>
      <c r="M22" s="716"/>
      <c r="N22" s="716"/>
      <c r="R22" s="727"/>
      <c r="S22" s="727"/>
      <c r="T22" s="727"/>
      <c r="U22" s="727"/>
      <c r="V22" s="727"/>
    </row>
    <row r="23" spans="1:22">
      <c r="A23" s="724" t="s">
        <v>3432</v>
      </c>
      <c r="B23" s="725">
        <v>8</v>
      </c>
      <c r="C23" s="739">
        <f>'Notes 2 - 9'!D125</f>
        <v>16149562.969999999</v>
      </c>
      <c r="E23" s="739">
        <f>SUM('Notes 2 - 9'!H125)</f>
        <v>12704115.749999998</v>
      </c>
      <c r="F23" s="726"/>
      <c r="G23" s="727">
        <f t="shared" si="2"/>
        <v>3445447.2200000007</v>
      </c>
      <c r="H23" s="1031">
        <f t="shared" si="1"/>
        <v>3445447.2200000007</v>
      </c>
      <c r="I23" s="727"/>
      <c r="L23" s="716"/>
      <c r="M23" s="716"/>
      <c r="N23" s="716"/>
      <c r="R23" s="727"/>
      <c r="S23" s="727"/>
      <c r="T23" s="727"/>
      <c r="U23" s="727"/>
      <c r="V23" s="727"/>
    </row>
    <row r="24" spans="1:22">
      <c r="A24" s="724" t="s">
        <v>938</v>
      </c>
      <c r="B24" s="725">
        <v>9</v>
      </c>
      <c r="C24" s="739">
        <f>'Notes 2 - 9'!D140</f>
        <v>3773845.09</v>
      </c>
      <c r="E24" s="739">
        <f>SUM('Notes 2 - 9'!H140)</f>
        <v>2541384.2000000002</v>
      </c>
      <c r="F24" s="726"/>
      <c r="G24" s="727">
        <f t="shared" si="2"/>
        <v>1232460.8899999997</v>
      </c>
      <c r="H24" s="727">
        <f t="shared" si="1"/>
        <v>1232460.8899999997</v>
      </c>
      <c r="I24" s="727">
        <v>1232460.8899999999</v>
      </c>
      <c r="L24" s="716"/>
      <c r="M24" s="716"/>
      <c r="N24" s="716"/>
      <c r="R24" s="727"/>
      <c r="S24" s="727"/>
      <c r="T24" s="727"/>
      <c r="U24" s="727"/>
      <c r="V24" s="727"/>
    </row>
    <row r="25" spans="1:22">
      <c r="A25" s="724" t="s">
        <v>1586</v>
      </c>
      <c r="B25" s="725">
        <v>5</v>
      </c>
      <c r="C25" s="740">
        <f>-'Notes 2 - 9'!D64</f>
        <v>1902281.11</v>
      </c>
      <c r="E25" s="740">
        <f>-'Notes 2 - 9'!H64</f>
        <v>1755000</v>
      </c>
      <c r="F25" s="726"/>
      <c r="G25" s="727">
        <f t="shared" si="2"/>
        <v>147281.1100000001</v>
      </c>
      <c r="H25" s="1031">
        <f t="shared" si="1"/>
        <v>147281.1100000001</v>
      </c>
      <c r="I25" s="727"/>
      <c r="L25" s="733"/>
      <c r="M25" s="733"/>
      <c r="N25" s="733"/>
      <c r="O25" s="737"/>
      <c r="P25" s="737"/>
      <c r="R25" s="727"/>
      <c r="S25" s="727"/>
      <c r="T25" s="727"/>
    </row>
    <row r="26" spans="1:22">
      <c r="A26" s="724"/>
      <c r="F26" s="726"/>
      <c r="G26" s="727">
        <f t="shared" si="2"/>
        <v>0</v>
      </c>
      <c r="H26" s="727">
        <f t="shared" si="1"/>
        <v>0</v>
      </c>
      <c r="I26" s="727">
        <f>SUM(I10:I24)</f>
        <v>5807694.3999999994</v>
      </c>
      <c r="L26" s="716"/>
      <c r="M26" s="716"/>
      <c r="N26" s="716"/>
      <c r="R26" s="727"/>
      <c r="S26" s="727"/>
      <c r="T26" s="727"/>
    </row>
    <row r="27" spans="1:22" s="738" customFormat="1">
      <c r="A27" s="742" t="s">
        <v>1587</v>
      </c>
      <c r="B27" s="732"/>
      <c r="C27" s="733">
        <f>C20+C16+C9</f>
        <v>143965810.92999998</v>
      </c>
      <c r="D27" s="733"/>
      <c r="E27" s="733">
        <f>E20+E16+E9</f>
        <v>46511173.409999982</v>
      </c>
      <c r="F27" s="736"/>
      <c r="G27" s="727">
        <f t="shared" si="2"/>
        <v>97454637.519999996</v>
      </c>
      <c r="H27" s="727"/>
      <c r="I27" s="727"/>
      <c r="J27" s="716"/>
      <c r="K27" s="716"/>
      <c r="L27" s="716"/>
      <c r="M27" s="716"/>
      <c r="N27" s="733"/>
      <c r="O27" s="727"/>
      <c r="P27" s="737"/>
      <c r="Q27" s="737"/>
      <c r="R27" s="737"/>
      <c r="S27" s="737"/>
      <c r="T27" s="737"/>
    </row>
    <row r="28" spans="1:22">
      <c r="A28" s="734"/>
      <c r="F28" s="726"/>
      <c r="G28" s="727">
        <f t="shared" si="2"/>
        <v>0</v>
      </c>
      <c r="H28" s="727"/>
      <c r="I28" s="727"/>
      <c r="L28" s="733"/>
      <c r="M28" s="733"/>
      <c r="N28" s="716"/>
      <c r="R28" s="727"/>
      <c r="S28" s="727"/>
      <c r="T28" s="727"/>
    </row>
    <row r="29" spans="1:22">
      <c r="A29" s="734" t="s">
        <v>1588</v>
      </c>
      <c r="F29" s="726"/>
      <c r="G29" s="727">
        <f t="shared" si="2"/>
        <v>0</v>
      </c>
      <c r="H29" s="727"/>
      <c r="I29" s="727"/>
      <c r="L29" s="716"/>
      <c r="M29" s="716"/>
      <c r="N29" s="716"/>
      <c r="R29" s="727"/>
      <c r="S29" s="727"/>
      <c r="T29" s="727"/>
    </row>
    <row r="30" spans="1:22" s="738" customFormat="1">
      <c r="A30" s="734" t="s">
        <v>1589</v>
      </c>
      <c r="B30" s="732"/>
      <c r="C30" s="733">
        <f>SUM(C31:C34)</f>
        <v>125294408.57000001</v>
      </c>
      <c r="D30" s="733"/>
      <c r="E30" s="733">
        <f>SUM(E31:E34)</f>
        <v>36710320.689999998</v>
      </c>
      <c r="F30" s="736"/>
      <c r="G30" s="727">
        <f t="shared" si="2"/>
        <v>88584087.88000001</v>
      </c>
      <c r="H30" s="727"/>
      <c r="I30" s="727"/>
      <c r="J30" s="716"/>
      <c r="K30" s="716"/>
      <c r="L30" s="716"/>
      <c r="M30" s="716"/>
      <c r="N30" s="733"/>
      <c r="O30" s="737"/>
      <c r="P30" s="737"/>
      <c r="Q30" s="737"/>
      <c r="R30" s="737"/>
      <c r="S30" s="737"/>
      <c r="T30" s="737"/>
    </row>
    <row r="31" spans="1:22">
      <c r="A31" s="724" t="s">
        <v>1591</v>
      </c>
      <c r="B31" s="725">
        <v>10</v>
      </c>
      <c r="C31" s="741">
        <f>SUM('Note 10'!H21)</f>
        <v>121160598.57000001</v>
      </c>
      <c r="E31" s="741">
        <f>'Note 10'!H36</f>
        <v>34608523.739999995</v>
      </c>
      <c r="F31" s="726"/>
      <c r="G31" s="727">
        <f t="shared" si="2"/>
        <v>86552074.830000013</v>
      </c>
      <c r="H31" s="727">
        <f t="shared" ref="H31:H42" si="3">C31-E31</f>
        <v>86552074.830000013</v>
      </c>
      <c r="I31" s="727"/>
      <c r="L31" s="716"/>
      <c r="M31" s="716"/>
      <c r="N31" s="716"/>
      <c r="R31" s="727"/>
      <c r="S31" s="727"/>
      <c r="T31" s="727"/>
    </row>
    <row r="32" spans="1:22">
      <c r="A32" s="724" t="s">
        <v>1592</v>
      </c>
      <c r="B32" s="725">
        <v>37</v>
      </c>
      <c r="C32" s="739">
        <f>'Note 37'!D11</f>
        <v>0</v>
      </c>
      <c r="E32" s="739">
        <f>'Note 37'!H11</f>
        <v>0</v>
      </c>
      <c r="F32" s="726"/>
      <c r="G32" s="727">
        <f t="shared" si="2"/>
        <v>0</v>
      </c>
      <c r="H32" s="727">
        <f t="shared" si="3"/>
        <v>0</v>
      </c>
      <c r="I32" s="727"/>
      <c r="L32" s="716"/>
      <c r="M32" s="716"/>
      <c r="N32" s="716"/>
      <c r="R32" s="727"/>
      <c r="S32" s="727"/>
      <c r="T32" s="727"/>
    </row>
    <row r="33" spans="1:21">
      <c r="A33" s="724" t="s">
        <v>1593</v>
      </c>
      <c r="B33" s="725">
        <v>12</v>
      </c>
      <c r="C33" s="739">
        <f>SUM('Note 11-14'!D31)</f>
        <v>4133810</v>
      </c>
      <c r="E33" s="739">
        <f>SUM('Note 11-14'!H31)-'main TB'!M187</f>
        <v>2101796.9500000002</v>
      </c>
      <c r="F33" s="726"/>
      <c r="G33" s="727">
        <f t="shared" si="2"/>
        <v>2032013.0499999998</v>
      </c>
      <c r="H33" s="1031">
        <f t="shared" si="3"/>
        <v>2032013.0499999998</v>
      </c>
      <c r="I33" s="727"/>
      <c r="L33" s="716"/>
      <c r="M33" s="716"/>
      <c r="N33" s="716"/>
      <c r="R33" s="727"/>
      <c r="S33" s="727"/>
      <c r="T33" s="727"/>
    </row>
    <row r="34" spans="1:21">
      <c r="A34" s="724" t="s">
        <v>3436</v>
      </c>
      <c r="B34" s="725">
        <v>13</v>
      </c>
      <c r="C34" s="740">
        <f>'Note 11-14'!D62</f>
        <v>0</v>
      </c>
      <c r="E34" s="740">
        <v>0</v>
      </c>
      <c r="F34" s="726"/>
      <c r="G34" s="727">
        <f t="shared" si="2"/>
        <v>0</v>
      </c>
      <c r="H34" s="727">
        <f t="shared" si="3"/>
        <v>0</v>
      </c>
      <c r="I34" s="727"/>
      <c r="L34" s="733"/>
      <c r="M34" s="733"/>
      <c r="N34" s="716"/>
      <c r="R34" s="727"/>
      <c r="S34" s="727"/>
      <c r="T34" s="727"/>
    </row>
    <row r="35" spans="1:21">
      <c r="A35" s="734"/>
      <c r="F35" s="726"/>
      <c r="G35" s="727">
        <f t="shared" si="2"/>
        <v>0</v>
      </c>
      <c r="H35" s="727">
        <f t="shared" si="3"/>
        <v>0</v>
      </c>
      <c r="I35" s="727"/>
      <c r="L35" s="716"/>
      <c r="M35" s="716"/>
      <c r="N35" s="716"/>
      <c r="R35" s="727"/>
      <c r="S35" s="727"/>
      <c r="T35" s="727"/>
    </row>
    <row r="36" spans="1:21" s="738" customFormat="1">
      <c r="A36" s="734" t="s">
        <v>922</v>
      </c>
      <c r="B36" s="732"/>
      <c r="C36" s="733">
        <f>SUM(C37:C42)</f>
        <v>18671401.240000006</v>
      </c>
      <c r="D36" s="733"/>
      <c r="E36" s="733">
        <f>SUM(E37:E42)</f>
        <v>9800852.1900000013</v>
      </c>
      <c r="F36" s="736"/>
      <c r="G36" s="727">
        <f t="shared" si="2"/>
        <v>8870549.0500000045</v>
      </c>
      <c r="H36" s="727">
        <f t="shared" si="3"/>
        <v>8870549.0500000045</v>
      </c>
      <c r="I36" s="727"/>
      <c r="J36" s="716"/>
      <c r="K36" s="716"/>
      <c r="L36" s="716"/>
      <c r="M36" s="716"/>
      <c r="N36" s="733"/>
      <c r="O36" s="737"/>
      <c r="P36" s="737"/>
      <c r="Q36" s="737"/>
      <c r="R36" s="737"/>
      <c r="S36" s="737"/>
      <c r="T36" s="737"/>
    </row>
    <row r="37" spans="1:21">
      <c r="A37" s="724" t="s">
        <v>1594</v>
      </c>
      <c r="B37" s="725">
        <v>14</v>
      </c>
      <c r="C37" s="741">
        <f>'Note 11-14'!D74</f>
        <v>2223891.1000000089</v>
      </c>
      <c r="E37" s="741">
        <f>'Note 11-14'!H74</f>
        <v>387498.98</v>
      </c>
      <c r="F37" s="726"/>
      <c r="G37" s="727">
        <f t="shared" si="2"/>
        <v>1836392.120000009</v>
      </c>
      <c r="H37" s="1031">
        <f t="shared" si="3"/>
        <v>1836392.120000009</v>
      </c>
      <c r="I37" s="727"/>
      <c r="L37" s="716"/>
      <c r="M37" s="716"/>
      <c r="N37" s="716"/>
      <c r="R37" s="727"/>
      <c r="S37" s="727"/>
      <c r="T37" s="727"/>
    </row>
    <row r="38" spans="1:21">
      <c r="A38" s="724" t="s">
        <v>1595</v>
      </c>
      <c r="B38" s="725">
        <v>12</v>
      </c>
      <c r="C38" s="739">
        <f>'Note 11-14'!D16</f>
        <v>0</v>
      </c>
      <c r="E38" s="739">
        <f>'main TB'!M187</f>
        <v>87947.05</v>
      </c>
      <c r="F38" s="726"/>
      <c r="G38" s="727">
        <f t="shared" si="2"/>
        <v>-87947.05</v>
      </c>
      <c r="H38" s="1031">
        <f t="shared" si="3"/>
        <v>-87947.05</v>
      </c>
      <c r="I38" s="727"/>
      <c r="L38" s="716"/>
      <c r="M38" s="716"/>
      <c r="N38" s="716"/>
      <c r="R38" s="727"/>
      <c r="S38" s="727"/>
      <c r="T38" s="727"/>
    </row>
    <row r="39" spans="1:21">
      <c r="A39" s="724" t="s">
        <v>1596</v>
      </c>
      <c r="B39" s="725">
        <v>15</v>
      </c>
      <c r="C39" s="739">
        <f>+'Note 15'!E18</f>
        <v>7011670.0500000007</v>
      </c>
      <c r="E39" s="739">
        <f>+'Note 15'!E39</f>
        <v>3194119.74</v>
      </c>
      <c r="F39" s="726"/>
      <c r="G39" s="727">
        <f t="shared" si="2"/>
        <v>3817550.3100000005</v>
      </c>
      <c r="H39" s="1031">
        <f t="shared" si="3"/>
        <v>3817550.3100000005</v>
      </c>
      <c r="I39" s="727"/>
      <c r="L39" s="716"/>
      <c r="M39" s="716"/>
      <c r="N39" s="716"/>
      <c r="R39" s="727"/>
      <c r="S39" s="727"/>
      <c r="T39" s="727"/>
    </row>
    <row r="40" spans="1:21">
      <c r="A40" s="724" t="s">
        <v>3438</v>
      </c>
      <c r="B40" s="725">
        <v>16</v>
      </c>
      <c r="C40" s="739">
        <f>'Note 16, 17'!D16</f>
        <v>5339992.6199999973</v>
      </c>
      <c r="E40" s="739">
        <f>'Note 16, 17'!H16</f>
        <v>3887640.64</v>
      </c>
      <c r="F40" s="726"/>
      <c r="G40" s="727">
        <f t="shared" si="2"/>
        <v>1452351.9799999972</v>
      </c>
      <c r="H40" s="1031">
        <f t="shared" si="3"/>
        <v>1452351.9799999972</v>
      </c>
      <c r="I40" s="727"/>
      <c r="L40" s="716"/>
      <c r="M40" s="716"/>
      <c r="N40" s="716"/>
      <c r="R40" s="727"/>
      <c r="S40" s="727"/>
      <c r="T40" s="727"/>
    </row>
    <row r="41" spans="1:21">
      <c r="A41" s="724" t="s">
        <v>1598</v>
      </c>
      <c r="B41" s="725">
        <v>13</v>
      </c>
      <c r="C41" s="739">
        <f>'Note 11-14'!D54</f>
        <v>0</v>
      </c>
      <c r="E41" s="739">
        <v>0</v>
      </c>
      <c r="F41" s="726"/>
      <c r="G41" s="727">
        <f t="shared" si="2"/>
        <v>0</v>
      </c>
      <c r="H41" s="727">
        <f t="shared" si="3"/>
        <v>0</v>
      </c>
      <c r="I41" s="727"/>
      <c r="L41" s="716"/>
      <c r="M41" s="716"/>
      <c r="N41" s="716"/>
      <c r="R41" s="727"/>
      <c r="S41" s="727"/>
      <c r="T41" s="727"/>
      <c r="U41" s="727"/>
    </row>
    <row r="42" spans="1:21">
      <c r="A42" s="724" t="s">
        <v>3440</v>
      </c>
      <c r="B42" s="725">
        <v>17</v>
      </c>
      <c r="C42" s="740">
        <f>SUM('Note 16, 17'!D86)</f>
        <v>4095847.4699999997</v>
      </c>
      <c r="E42" s="740">
        <f>SUM('Note 16, 17'!H86)</f>
        <v>2243645.7800000003</v>
      </c>
      <c r="F42" s="726"/>
      <c r="G42" s="727">
        <f t="shared" si="2"/>
        <v>1852201.6899999995</v>
      </c>
      <c r="H42" s="1031">
        <f t="shared" si="3"/>
        <v>1852201.6899999995</v>
      </c>
      <c r="I42" s="727"/>
      <c r="L42" s="716"/>
      <c r="M42" s="716"/>
      <c r="N42" s="733"/>
      <c r="R42" s="727"/>
      <c r="S42" s="727"/>
      <c r="T42" s="727"/>
      <c r="U42" s="727"/>
    </row>
    <row r="43" spans="1:21">
      <c r="A43" s="724"/>
      <c r="F43" s="726"/>
      <c r="G43" s="727">
        <f t="shared" si="2"/>
        <v>0</v>
      </c>
      <c r="H43" s="727"/>
      <c r="I43" s="727"/>
      <c r="L43" s="716"/>
      <c r="M43" s="716"/>
      <c r="N43" s="716"/>
      <c r="R43" s="727"/>
      <c r="S43" s="727"/>
      <c r="T43" s="727"/>
      <c r="U43" s="727"/>
    </row>
    <row r="44" spans="1:21" s="738" customFormat="1">
      <c r="A44" s="742" t="s">
        <v>1599</v>
      </c>
      <c r="B44" s="732"/>
      <c r="C44" s="733">
        <f>C36+C30+1</f>
        <v>143965810.81</v>
      </c>
      <c r="D44" s="733"/>
      <c r="E44" s="733">
        <f>E36+E30</f>
        <v>46511172.879999995</v>
      </c>
      <c r="F44" s="736"/>
      <c r="G44" s="727">
        <f t="shared" si="2"/>
        <v>97454637.930000007</v>
      </c>
      <c r="H44" s="727"/>
      <c r="I44" s="727"/>
      <c r="J44" s="716"/>
      <c r="K44" s="716"/>
      <c r="L44" s="716"/>
      <c r="M44" s="733"/>
      <c r="N44" s="737"/>
      <c r="O44" s="737"/>
      <c r="P44" s="737"/>
      <c r="Q44" s="737"/>
      <c r="R44" s="737"/>
      <c r="S44" s="737"/>
    </row>
    <row r="45" spans="1:21">
      <c r="A45" s="743"/>
      <c r="B45" s="744"/>
      <c r="C45" s="745"/>
      <c r="D45" s="745"/>
      <c r="E45" s="745"/>
      <c r="F45" s="746"/>
      <c r="H45" s="727"/>
      <c r="I45" s="727"/>
      <c r="L45" s="716"/>
      <c r="M45" s="716"/>
      <c r="R45" s="727"/>
      <c r="S45" s="727"/>
    </row>
    <row r="46" spans="1:21">
      <c r="H46" s="727"/>
      <c r="I46" s="727"/>
      <c r="L46" s="716"/>
      <c r="M46" s="716"/>
      <c r="R46" s="727"/>
      <c r="S46" s="727"/>
    </row>
    <row r="47" spans="1:21">
      <c r="H47" s="727"/>
      <c r="I47" s="727"/>
      <c r="L47" s="716"/>
      <c r="M47" s="716"/>
      <c r="R47" s="727"/>
      <c r="S47" s="727"/>
    </row>
    <row r="48" spans="1:21">
      <c r="C48" s="716">
        <f>C27-C44</f>
        <v>0.11999997496604919</v>
      </c>
      <c r="H48" s="727"/>
      <c r="I48" s="727"/>
      <c r="L48" s="716"/>
      <c r="M48" s="716"/>
      <c r="R48" s="727"/>
      <c r="S48" s="727"/>
    </row>
    <row r="49" spans="8:19">
      <c r="H49" s="727"/>
      <c r="I49" s="727"/>
      <c r="L49" s="716"/>
      <c r="M49" s="716"/>
      <c r="R49" s="727"/>
      <c r="S49" s="727"/>
    </row>
    <row r="50" spans="8:19">
      <c r="H50" s="727"/>
      <c r="I50" s="727"/>
      <c r="L50" s="716"/>
      <c r="M50" s="716"/>
      <c r="R50" s="727"/>
      <c r="S50" s="727"/>
    </row>
  </sheetData>
  <mergeCells count="3">
    <mergeCell ref="A1:E1"/>
    <mergeCell ref="A2:E2"/>
    <mergeCell ref="A3:E3"/>
  </mergeCells>
  <phoneticPr fontId="0" type="noConversion"/>
  <printOptions horizontalCentered="1"/>
  <pageMargins left="0.6692913385826772" right="0.39370078740157483" top="0.98425196850393704" bottom="0.98425196850393704" header="0.51181102362204722" footer="0.51181102362204722"/>
  <pageSetup scale="89" orientation="portrait" r:id="rId1"/>
  <headerFooter alignWithMargins="0">
    <oddHeader>&amp;C FINANCIAL STATEMENTS: MUSINA LOCAL MUNICIPALITY</oddHeader>
    <oddFooter>&amp;RPage &amp;P</oddFooter>
  </headerFooter>
</worksheet>
</file>

<file path=xl/worksheets/sheet6.xml><?xml version="1.0" encoding="utf-8"?>
<worksheet xmlns="http://schemas.openxmlformats.org/spreadsheetml/2006/main" xmlns:r="http://schemas.openxmlformats.org/officeDocument/2006/relationships">
  <dimension ref="A1:V61"/>
  <sheetViews>
    <sheetView view="pageBreakPreview" topLeftCell="A23" zoomScaleSheetLayoutView="100" workbookViewId="0">
      <selection activeCell="A14" sqref="A14"/>
    </sheetView>
  </sheetViews>
  <sheetFormatPr defaultRowHeight="14.25"/>
  <cols>
    <col min="1" max="1" width="2" style="754" customWidth="1"/>
    <col min="2" max="2" width="2.7109375" style="754" customWidth="1"/>
    <col min="3" max="3" width="45.7109375" style="754" customWidth="1"/>
    <col min="4" max="4" width="5.42578125" style="759" bestFit="1" customWidth="1"/>
    <col min="5" max="5" width="2.7109375" style="754" customWidth="1"/>
    <col min="6" max="6" width="16.5703125" style="760" bestFit="1" customWidth="1"/>
    <col min="7" max="7" width="2.5703125" style="761" customWidth="1"/>
    <col min="8" max="8" width="16.5703125" style="760" bestFit="1" customWidth="1"/>
    <col min="9" max="9" width="1.5703125" style="754" customWidth="1"/>
    <col min="10" max="10" width="12.7109375" style="760" bestFit="1" customWidth="1"/>
    <col min="11" max="12" width="12" style="760" customWidth="1"/>
    <col min="13" max="13" width="12.7109375" style="760" bestFit="1" customWidth="1"/>
    <col min="14" max="14" width="12" style="760" customWidth="1"/>
    <col min="15" max="15" width="18.28515625" style="753" customWidth="1"/>
    <col min="16" max="16" width="25.7109375" style="753" customWidth="1"/>
    <col min="17" max="17" width="16.42578125" style="753" bestFit="1" customWidth="1"/>
    <col min="18" max="18" width="14.5703125" style="753" bestFit="1" customWidth="1"/>
    <col min="19" max="22" width="9.140625" style="753" customWidth="1"/>
    <col min="23" max="16384" width="9.140625" style="754"/>
  </cols>
  <sheetData>
    <row r="1" spans="1:22" ht="15">
      <c r="A1" s="750"/>
      <c r="B1" s="751"/>
      <c r="C1" s="1322" t="s">
        <v>1602</v>
      </c>
      <c r="D1" s="1322"/>
      <c r="E1" s="1322"/>
      <c r="F1" s="1322"/>
      <c r="G1" s="1322"/>
      <c r="H1" s="1322"/>
      <c r="I1" s="752"/>
      <c r="O1" s="753" t="s">
        <v>2195</v>
      </c>
    </row>
    <row r="2" spans="1:22" ht="15">
      <c r="A2" s="755"/>
      <c r="B2" s="756"/>
      <c r="C2" s="1323" t="s">
        <v>1603</v>
      </c>
      <c r="D2" s="1323"/>
      <c r="E2" s="1323"/>
      <c r="F2" s="1323"/>
      <c r="G2" s="1323"/>
      <c r="H2" s="1323"/>
      <c r="I2" s="757"/>
      <c r="O2" s="753" t="s">
        <v>982</v>
      </c>
    </row>
    <row r="3" spans="1:22" ht="15">
      <c r="A3" s="755"/>
      <c r="B3" s="758"/>
      <c r="C3" s="1324" t="s">
        <v>3076</v>
      </c>
      <c r="D3" s="1324"/>
      <c r="E3" s="1324"/>
      <c r="F3" s="1324"/>
      <c r="G3" s="1324"/>
      <c r="H3" s="1324"/>
      <c r="I3" s="757"/>
    </row>
    <row r="4" spans="1:22">
      <c r="A4" s="755"/>
      <c r="I4" s="757"/>
    </row>
    <row r="5" spans="1:22" s="763" customFormat="1" ht="15">
      <c r="A5" s="762"/>
      <c r="D5" s="764"/>
      <c r="F5" s="1321" t="s">
        <v>1606</v>
      </c>
      <c r="G5" s="1321"/>
      <c r="H5" s="1321"/>
      <c r="I5" s="765"/>
      <c r="J5" s="770"/>
      <c r="K5" s="770"/>
      <c r="L5" s="770"/>
      <c r="M5" s="770"/>
      <c r="N5" s="770"/>
      <c r="O5" s="766"/>
      <c r="P5" s="766"/>
      <c r="Q5" s="766"/>
      <c r="R5" s="766"/>
      <c r="S5" s="766"/>
      <c r="T5" s="766"/>
      <c r="U5" s="766"/>
      <c r="V5" s="766"/>
    </row>
    <row r="6" spans="1:22" s="763" customFormat="1" ht="15">
      <c r="A6" s="762"/>
      <c r="D6" s="764"/>
      <c r="F6" s="767" t="s">
        <v>2241</v>
      </c>
      <c r="G6" s="768"/>
      <c r="H6" s="767" t="s">
        <v>3558</v>
      </c>
      <c r="I6" s="765"/>
      <c r="J6" s="770"/>
      <c r="K6" s="770"/>
      <c r="L6" s="770"/>
      <c r="M6" s="770"/>
      <c r="N6" s="770"/>
      <c r="O6" s="766"/>
      <c r="P6" s="766"/>
      <c r="Q6" s="766"/>
      <c r="R6" s="766"/>
      <c r="S6" s="766"/>
      <c r="T6" s="766"/>
      <c r="U6" s="766"/>
      <c r="V6" s="766"/>
    </row>
    <row r="7" spans="1:22" s="763" customFormat="1" ht="15">
      <c r="A7" s="762"/>
      <c r="D7" s="764"/>
      <c r="F7" s="769" t="s">
        <v>3386</v>
      </c>
      <c r="G7" s="768"/>
      <c r="H7" s="769" t="s">
        <v>3386</v>
      </c>
      <c r="I7" s="765"/>
      <c r="J7" s="770"/>
      <c r="K7" s="770"/>
      <c r="L7" s="770"/>
      <c r="M7" s="770"/>
      <c r="N7" s="770"/>
      <c r="O7" s="766"/>
      <c r="P7" s="766"/>
      <c r="Q7" s="766"/>
      <c r="R7" s="766"/>
      <c r="S7" s="766"/>
      <c r="T7" s="766"/>
      <c r="U7" s="766"/>
      <c r="V7" s="766"/>
    </row>
    <row r="8" spans="1:22" s="763" customFormat="1" ht="15">
      <c r="A8" s="762"/>
      <c r="C8" s="763" t="s">
        <v>1605</v>
      </c>
      <c r="D8" s="764"/>
      <c r="F8" s="769"/>
      <c r="G8" s="768"/>
      <c r="H8" s="769"/>
      <c r="I8" s="765"/>
      <c r="J8" s="770"/>
      <c r="K8" s="770"/>
      <c r="L8" s="770"/>
      <c r="M8" s="770"/>
      <c r="N8" s="770"/>
      <c r="O8" s="766"/>
      <c r="P8" s="766"/>
      <c r="Q8" s="766"/>
      <c r="R8" s="766"/>
      <c r="S8" s="766"/>
      <c r="T8" s="766"/>
      <c r="U8" s="766"/>
      <c r="V8" s="766"/>
    </row>
    <row r="9" spans="1:22" s="763" customFormat="1" ht="15">
      <c r="A9" s="762"/>
      <c r="D9" s="764" t="s">
        <v>1600</v>
      </c>
      <c r="F9" s="770"/>
      <c r="G9" s="768"/>
      <c r="H9" s="770"/>
      <c r="I9" s="765"/>
      <c r="J9" s="1030" t="s">
        <v>2768</v>
      </c>
      <c r="K9" s="1030" t="s">
        <v>591</v>
      </c>
      <c r="L9" s="770"/>
      <c r="M9" s="770"/>
      <c r="N9" s="770"/>
      <c r="O9" s="766"/>
      <c r="P9" s="766"/>
      <c r="Q9" s="766"/>
      <c r="R9" s="766"/>
      <c r="S9" s="766"/>
      <c r="T9" s="766"/>
      <c r="U9" s="766"/>
      <c r="V9" s="766"/>
    </row>
    <row r="10" spans="1:22">
      <c r="A10" s="755"/>
      <c r="C10" s="771" t="s">
        <v>1607</v>
      </c>
      <c r="D10" s="772">
        <v>18</v>
      </c>
      <c r="E10" s="752"/>
      <c r="F10" s="747">
        <f>'Notes 18 - 35'!D15</f>
        <v>6838330.1700000009</v>
      </c>
      <c r="H10" s="747">
        <f>'Notes 18 - 35'!H15</f>
        <v>6265210</v>
      </c>
      <c r="I10" s="757"/>
      <c r="J10" s="760">
        <f>F10</f>
        <v>6838330.1700000009</v>
      </c>
      <c r="Q10" s="753">
        <f>F10</f>
        <v>6838330.1700000009</v>
      </c>
    </row>
    <row r="11" spans="1:22">
      <c r="A11" s="755"/>
      <c r="C11" s="773" t="s">
        <v>1608</v>
      </c>
      <c r="D11" s="774"/>
      <c r="E11" s="757"/>
      <c r="F11" s="748"/>
      <c r="H11" s="748"/>
      <c r="I11" s="757"/>
      <c r="Q11" s="753">
        <f t="shared" ref="Q11:Q26" si="0">F11</f>
        <v>0</v>
      </c>
    </row>
    <row r="12" spans="1:22">
      <c r="A12" s="755"/>
      <c r="C12" s="775" t="s">
        <v>1609</v>
      </c>
      <c r="D12" s="774">
        <v>19</v>
      </c>
      <c r="E12" s="757"/>
      <c r="F12" s="748">
        <f>'Notes 18 - 35'!D41</f>
        <v>20757570.349999998</v>
      </c>
      <c r="H12" s="748">
        <f>'Notes 18 - 35'!H41</f>
        <v>19100536</v>
      </c>
      <c r="I12" s="757"/>
      <c r="J12" s="760">
        <f>F12</f>
        <v>20757570.349999998</v>
      </c>
      <c r="O12" s="753" t="s">
        <v>1746</v>
      </c>
      <c r="Q12" s="753">
        <f t="shared" si="0"/>
        <v>20757570.349999998</v>
      </c>
    </row>
    <row r="13" spans="1:22">
      <c r="A13" s="755"/>
      <c r="C13" s="775" t="s">
        <v>1610</v>
      </c>
      <c r="D13" s="774">
        <v>19</v>
      </c>
      <c r="E13" s="757"/>
      <c r="F13" s="748">
        <f>'Notes 18 - 35'!D43</f>
        <v>3910829.34</v>
      </c>
      <c r="H13" s="748">
        <f>'Notes 18 - 35'!H43</f>
        <v>3665254.84</v>
      </c>
      <c r="I13" s="757"/>
      <c r="J13" s="760">
        <f>F13</f>
        <v>3910829.34</v>
      </c>
      <c r="O13" s="753" t="s">
        <v>1747</v>
      </c>
      <c r="Q13" s="753">
        <f t="shared" si="0"/>
        <v>3910829.34</v>
      </c>
    </row>
    <row r="14" spans="1:22">
      <c r="A14" s="755"/>
      <c r="C14" s="775" t="s">
        <v>1611</v>
      </c>
      <c r="D14" s="774">
        <v>19</v>
      </c>
      <c r="E14" s="757"/>
      <c r="F14" s="748">
        <f>'Notes 18 - 35'!D44</f>
        <v>0</v>
      </c>
      <c r="H14" s="748">
        <f>'Notes 18 - 35'!H44</f>
        <v>0</v>
      </c>
      <c r="I14" s="757"/>
      <c r="Q14" s="753">
        <f t="shared" si="0"/>
        <v>0</v>
      </c>
    </row>
    <row r="15" spans="1:22">
      <c r="A15" s="755"/>
      <c r="C15" s="775" t="s">
        <v>1612</v>
      </c>
      <c r="D15" s="774">
        <v>19</v>
      </c>
      <c r="E15" s="757"/>
      <c r="F15" s="748">
        <f>'Notes 18 - 35'!D42</f>
        <v>0</v>
      </c>
      <c r="H15" s="748">
        <f>'Notes 18 - 35'!H42</f>
        <v>0</v>
      </c>
      <c r="I15" s="757"/>
      <c r="Q15" s="753">
        <f t="shared" si="0"/>
        <v>0</v>
      </c>
    </row>
    <row r="16" spans="1:22">
      <c r="A16" s="755"/>
      <c r="C16" s="773" t="s">
        <v>1613</v>
      </c>
      <c r="D16" s="774"/>
      <c r="E16" s="757"/>
      <c r="F16" s="748">
        <f>-SUM('TRAIL BALANCE'!C341+'TRAIL BALANCE'!C453+'TRAIL BALANCE'!C492)</f>
        <v>191640.90000000002</v>
      </c>
      <c r="H16" s="748">
        <v>166047.03</v>
      </c>
      <c r="I16" s="757"/>
      <c r="J16" s="760">
        <f>F16</f>
        <v>191640.90000000002</v>
      </c>
      <c r="Q16" s="753">
        <f t="shared" si="0"/>
        <v>191640.90000000002</v>
      </c>
    </row>
    <row r="17" spans="1:22">
      <c r="A17" s="755"/>
      <c r="C17" s="773" t="s">
        <v>3443</v>
      </c>
      <c r="D17" s="774">
        <v>22</v>
      </c>
      <c r="E17" s="757"/>
      <c r="F17" s="748">
        <f>'Notes 18 - 35'!D158</f>
        <v>549044.5</v>
      </c>
      <c r="H17" s="748">
        <f>'Notes 18 - 35'!H158</f>
        <v>38079</v>
      </c>
      <c r="I17" s="757"/>
      <c r="J17" s="760">
        <f>F17</f>
        <v>549044.5</v>
      </c>
      <c r="O17" s="753">
        <f>F17+F18</f>
        <v>1596555.01</v>
      </c>
      <c r="R17" s="753">
        <f>F17</f>
        <v>549044.5</v>
      </c>
    </row>
    <row r="18" spans="1:22">
      <c r="A18" s="755"/>
      <c r="C18" s="773" t="s">
        <v>1615</v>
      </c>
      <c r="D18" s="774">
        <v>23</v>
      </c>
      <c r="E18" s="757"/>
      <c r="F18" s="748">
        <f>'Notes 18 - 35'!D163</f>
        <v>1047510.51</v>
      </c>
      <c r="H18" s="748">
        <f>'Notes 18 - 35'!H163</f>
        <v>1004241.39</v>
      </c>
      <c r="I18" s="757"/>
      <c r="J18" s="760">
        <f>F18</f>
        <v>1047510.51</v>
      </c>
      <c r="M18" s="760">
        <f>F22</f>
        <v>12943512</v>
      </c>
      <c r="N18" s="760" t="s">
        <v>594</v>
      </c>
      <c r="R18" s="753">
        <f>F18</f>
        <v>1047510.51</v>
      </c>
    </row>
    <row r="19" spans="1:22">
      <c r="A19" s="755"/>
      <c r="C19" s="773" t="s">
        <v>1616</v>
      </c>
      <c r="D19" s="774"/>
      <c r="E19" s="757"/>
      <c r="F19" s="748">
        <f>-SUM('TRAIL BALANCE'!C616)</f>
        <v>828950</v>
      </c>
      <c r="H19" s="748">
        <v>1181870</v>
      </c>
      <c r="I19" s="757"/>
      <c r="J19" s="760">
        <f>F19</f>
        <v>828950</v>
      </c>
      <c r="M19" s="760">
        <f>F23</f>
        <v>2043290.17</v>
      </c>
      <c r="N19" s="760" t="s">
        <v>593</v>
      </c>
      <c r="Q19" s="753">
        <f t="shared" si="0"/>
        <v>828950</v>
      </c>
    </row>
    <row r="20" spans="1:22">
      <c r="A20" s="755"/>
      <c r="C20" s="773" t="s">
        <v>1617</v>
      </c>
      <c r="D20" s="774"/>
      <c r="E20" s="757"/>
      <c r="F20" s="748">
        <f>-SUM('TRAIL BALANCE'!C615)</f>
        <v>2200014.21</v>
      </c>
      <c r="H20" s="748">
        <v>1515955</v>
      </c>
      <c r="I20" s="757"/>
      <c r="J20" s="760">
        <f>F20</f>
        <v>2200014.21</v>
      </c>
      <c r="M20" s="760">
        <f>SUM(M18:M19)</f>
        <v>14986802.17</v>
      </c>
      <c r="N20" s="760" t="s">
        <v>2384</v>
      </c>
      <c r="Q20" s="753">
        <f t="shared" si="0"/>
        <v>2200014.21</v>
      </c>
    </row>
    <row r="21" spans="1:22">
      <c r="A21" s="755"/>
      <c r="C21" s="773" t="s">
        <v>1618</v>
      </c>
      <c r="D21" s="774"/>
      <c r="E21" s="757"/>
      <c r="F21" s="748">
        <f>-SUM('TRAIL BALANCE'!C12)</f>
        <v>985502.46</v>
      </c>
      <c r="H21" s="748">
        <v>1626088</v>
      </c>
      <c r="I21" s="757"/>
      <c r="M21" s="760">
        <f>'Notes 2 - 9'!D140</f>
        <v>3773845.09</v>
      </c>
      <c r="N21" s="760" t="s">
        <v>592</v>
      </c>
      <c r="Q21" s="753">
        <f t="shared" si="0"/>
        <v>985502.46</v>
      </c>
    </row>
    <row r="22" spans="1:22">
      <c r="A22" s="755"/>
      <c r="C22" s="773" t="s">
        <v>1619</v>
      </c>
      <c r="D22" s="774">
        <v>20</v>
      </c>
      <c r="E22" s="757"/>
      <c r="F22" s="748">
        <f>'Notes 18 - 35'!D52</f>
        <v>12943512</v>
      </c>
      <c r="H22" s="748">
        <f>'Notes 18 - 35'!H52</f>
        <v>9845128</v>
      </c>
      <c r="I22" s="757"/>
      <c r="J22" s="760">
        <f>F22</f>
        <v>12943512</v>
      </c>
      <c r="M22" s="760">
        <f>M20-M21</f>
        <v>11212957.08</v>
      </c>
      <c r="Q22" s="753">
        <f t="shared" si="0"/>
        <v>12943512</v>
      </c>
    </row>
    <row r="23" spans="1:22">
      <c r="A23" s="755"/>
      <c r="C23" s="773" t="s">
        <v>1620</v>
      </c>
      <c r="D23" s="774">
        <v>20</v>
      </c>
      <c r="E23" s="757"/>
      <c r="F23" s="748">
        <f>'Notes 18 - 35'!D61</f>
        <v>2043290.17</v>
      </c>
      <c r="H23" s="748">
        <f>'Notes 18 - 35'!H61</f>
        <v>9783123.7699999996</v>
      </c>
      <c r="I23" s="757"/>
      <c r="Q23" s="753">
        <f t="shared" si="0"/>
        <v>2043290.17</v>
      </c>
    </row>
    <row r="24" spans="1:22" s="777" customFormat="1" ht="25.5">
      <c r="A24" s="776"/>
      <c r="C24" s="778" t="s">
        <v>1621</v>
      </c>
      <c r="D24" s="779">
        <v>21</v>
      </c>
      <c r="E24" s="780"/>
      <c r="F24" s="748">
        <f>'Notes 18 - 35'!D154</f>
        <v>0</v>
      </c>
      <c r="G24" s="781"/>
      <c r="H24" s="748">
        <f>'Notes 18 - 35'!H154</f>
        <v>0</v>
      </c>
      <c r="I24" s="780"/>
      <c r="J24" s="791"/>
      <c r="K24" s="791"/>
      <c r="L24" s="791"/>
      <c r="M24" s="791"/>
      <c r="N24" s="791"/>
      <c r="O24" s="782"/>
      <c r="P24" s="782"/>
      <c r="Q24" s="753">
        <f t="shared" si="0"/>
        <v>0</v>
      </c>
      <c r="R24" s="782"/>
      <c r="S24" s="782"/>
      <c r="T24" s="782"/>
      <c r="U24" s="782"/>
      <c r="V24" s="782"/>
    </row>
    <row r="25" spans="1:22">
      <c r="A25" s="755"/>
      <c r="C25" s="773" t="s">
        <v>1622</v>
      </c>
      <c r="D25" s="774">
        <v>24</v>
      </c>
      <c r="E25" s="757"/>
      <c r="F25" s="748">
        <f>'Notes 18 - 35'!D186</f>
        <v>21981643.82</v>
      </c>
      <c r="H25" s="748">
        <f>'Notes 18 - 35'!H186</f>
        <v>408108.49000000005</v>
      </c>
      <c r="I25" s="757"/>
      <c r="Q25" s="753">
        <f t="shared" si="0"/>
        <v>21981643.82</v>
      </c>
    </row>
    <row r="26" spans="1:22">
      <c r="A26" s="755"/>
      <c r="C26" s="773" t="s">
        <v>1623</v>
      </c>
      <c r="D26" s="774"/>
      <c r="E26" s="757"/>
      <c r="F26" s="749">
        <v>0</v>
      </c>
      <c r="H26" s="749">
        <v>0</v>
      </c>
      <c r="I26" s="757"/>
      <c r="P26" s="753">
        <f>F27-F17</f>
        <v>73728793.930000007</v>
      </c>
      <c r="Q26" s="753">
        <f t="shared" si="0"/>
        <v>0</v>
      </c>
    </row>
    <row r="27" spans="1:22" s="763" customFormat="1" ht="15">
      <c r="A27" s="762"/>
      <c r="C27" s="783" t="s">
        <v>1624</v>
      </c>
      <c r="D27" s="784"/>
      <c r="E27" s="785"/>
      <c r="F27" s="786">
        <f>SUM(F10:F26)</f>
        <v>74277838.430000007</v>
      </c>
      <c r="G27" s="787"/>
      <c r="H27" s="786">
        <f>SUM(H10:H26)</f>
        <v>54599641.520000003</v>
      </c>
      <c r="I27" s="765"/>
      <c r="J27" s="760">
        <v>73058751</v>
      </c>
      <c r="K27" s="760">
        <f>F27-J27</f>
        <v>1219087.4300000072</v>
      </c>
      <c r="L27" s="760"/>
      <c r="M27" s="760"/>
      <c r="N27" s="760"/>
      <c r="O27" s="753">
        <v>75995934</v>
      </c>
      <c r="P27" s="766">
        <f>H27-H17</f>
        <v>54561562.520000003</v>
      </c>
      <c r="Q27" s="766">
        <f>SUM(Q10:Q26)</f>
        <v>72681283.420000002</v>
      </c>
      <c r="R27" s="766">
        <f>SUM(R10:R26)</f>
        <v>1596555.01</v>
      </c>
      <c r="S27" s="766"/>
      <c r="T27" s="766"/>
      <c r="U27" s="766"/>
      <c r="V27" s="766"/>
    </row>
    <row r="28" spans="1:22" ht="15">
      <c r="A28" s="755"/>
      <c r="C28" s="788"/>
      <c r="F28" s="789"/>
      <c r="H28" s="789"/>
      <c r="I28" s="757"/>
      <c r="M28" s="760">
        <v>300544.13</v>
      </c>
      <c r="O28" s="753">
        <f>O27-F27</f>
        <v>1718095.5699999928</v>
      </c>
    </row>
    <row r="29" spans="1:22" ht="15">
      <c r="A29" s="755"/>
      <c r="C29" s="790" t="s">
        <v>1625</v>
      </c>
      <c r="F29" s="791"/>
      <c r="H29" s="791"/>
      <c r="I29" s="757"/>
      <c r="M29" s="760">
        <v>1472199.21</v>
      </c>
    </row>
    <row r="30" spans="1:22">
      <c r="A30" s="755"/>
      <c r="C30" s="792"/>
      <c r="I30" s="757"/>
      <c r="M30" s="760">
        <v>2302981.2000000002</v>
      </c>
    </row>
    <row r="31" spans="1:22">
      <c r="A31" s="755"/>
      <c r="C31" s="771" t="s">
        <v>1112</v>
      </c>
      <c r="D31" s="793">
        <v>25</v>
      </c>
      <c r="F31" s="747">
        <f>'Notes 18 - 35'!D202</f>
        <v>20331605.729999997</v>
      </c>
      <c r="H31" s="747">
        <f>'Notes 18 - 35'!H202</f>
        <v>18620751.469999999</v>
      </c>
      <c r="I31" s="757"/>
      <c r="M31" s="760">
        <f>SUM(M28:M30)</f>
        <v>4075724.54</v>
      </c>
      <c r="P31" s="753">
        <f>16978138+3367295-13827</f>
        <v>20331606</v>
      </c>
      <c r="Q31" s="753">
        <f>H31</f>
        <v>18620751.469999999</v>
      </c>
    </row>
    <row r="32" spans="1:22">
      <c r="A32" s="755"/>
      <c r="C32" s="773" t="s">
        <v>1626</v>
      </c>
      <c r="D32" s="794">
        <v>26</v>
      </c>
      <c r="F32" s="748">
        <f>'Notes 18 - 35'!D248</f>
        <v>2289128.8299999996</v>
      </c>
      <c r="H32" s="748">
        <f>'Notes 18 - 35'!H248</f>
        <v>1995763.33</v>
      </c>
      <c r="I32" s="757"/>
      <c r="P32" s="753">
        <f>2275302+13827</f>
        <v>2289129</v>
      </c>
      <c r="Q32" s="753">
        <f t="shared" ref="Q32:Q42" si="1">H32</f>
        <v>1995763.33</v>
      </c>
    </row>
    <row r="33" spans="1:22">
      <c r="A33" s="755"/>
      <c r="C33" s="773" t="s">
        <v>1627</v>
      </c>
      <c r="D33" s="794"/>
      <c r="F33" s="748">
        <f>SUM('TRAIL BALANCE'!C240+'TRAIL BALANCE'!C266)</f>
        <v>82519.28</v>
      </c>
      <c r="H33" s="748">
        <v>0</v>
      </c>
      <c r="I33" s="757"/>
      <c r="P33" s="753">
        <v>82519</v>
      </c>
      <c r="Q33" s="753">
        <f t="shared" si="1"/>
        <v>0</v>
      </c>
    </row>
    <row r="34" spans="1:22">
      <c r="A34" s="755"/>
      <c r="C34" s="773" t="s">
        <v>1628</v>
      </c>
      <c r="D34" s="794"/>
      <c r="F34" s="748">
        <v>321736</v>
      </c>
      <c r="H34" s="748">
        <v>1185717</v>
      </c>
      <c r="I34" s="757"/>
      <c r="P34" s="753">
        <v>321736</v>
      </c>
      <c r="Q34" s="753">
        <f t="shared" si="1"/>
        <v>1185717</v>
      </c>
    </row>
    <row r="35" spans="1:22">
      <c r="A35" s="755"/>
      <c r="C35" s="773" t="s">
        <v>1629</v>
      </c>
      <c r="D35" s="794"/>
      <c r="F35" s="748">
        <f>SUM('TRAIL BALANCE'!C28+'TRAIL BALANCE'!C79+'TRAIL BALANCE'!C150+'TRAIL BALANCE'!C185+'TRAIL BALANCE'!C209+'TRAIL BALANCE'!C241+'TRAIL BALANCE'!C278+'TRAIL BALANCE'!C294+'TRAIL BALANCE'!C316+'TRAIL BALANCE'!C353+'TRAIL BALANCE'!C376+'TRAIL BALANCE'!C401+'TRAIL BALANCE'!C433+'TRAIL BALANCE'!C470+'TRAIL BALANCE'!C535+'TRAIL BALANCE'!C566+'TRAIL BALANCE'!C631)-36000</f>
        <v>3492914.18</v>
      </c>
      <c r="H35" s="748">
        <f>-'Note 10'!H31</f>
        <v>3295509.0799999996</v>
      </c>
      <c r="I35" s="757"/>
      <c r="O35" s="753">
        <v>3331509.08</v>
      </c>
      <c r="P35" s="753">
        <f>3528914-36000</f>
        <v>3492914</v>
      </c>
      <c r="R35" s="753">
        <f>H35</f>
        <v>3295509.0799999996</v>
      </c>
    </row>
    <row r="36" spans="1:22">
      <c r="A36" s="755"/>
      <c r="C36" s="773" t="s">
        <v>1630</v>
      </c>
      <c r="D36" s="794"/>
      <c r="F36" s="748">
        <f>SUM('TRAIL BALANCE'!C29+'TRAIL BALANCE'!C30+'TRAIL BALANCE'!C80+'TRAIL BALANCE'!C81+'TRAIL BALANCE'!C151+'TRAIL BALANCE'!C186+'TRAIL BALANCE'!C210+'TRAIL BALANCE'!C211+'TRAIL BALANCE'!C242+'TRAIL BALANCE'!C295+'TRAIL BALANCE'!C317+'TRAIL BALANCE'!C318+'TRAIL BALANCE'!C354+'TRAIL BALANCE'!C355+'TRAIL BALANCE'!C356+'TRAIL BALANCE'!C377+'TRAIL BALANCE'!C402+'TRAIL BALANCE'!C403+'TRAIL BALANCE'!C404+'TRAIL BALANCE'!C405+'TRAIL BALANCE'!C434+'TRAIL BALANCE'!C435+'TRAIL BALANCE'!C436+'TRAIL BALANCE'!C471+'TRAIL BALANCE'!C472+'TRAIL BALANCE'!C473+'TRAIL BALANCE'!C474+'TRAIL BALANCE'!C475+'TRAIL BALANCE'!C476+'TRAIL BALANCE'!C496+'TRAIL BALANCE'!C497+'TRAIL BALANCE'!C536+'TRAIL BALANCE'!C537+'TRAIL BALANCE'!C538+'TRAIL BALANCE'!C539+'TRAIL BALANCE'!C558+'TRAIL BALANCE'!C559+'TRAIL BALANCE'!C567+'TRAIL BALANCE'!C632+'TRAIL BALANCE'!C633+'TRAIL BALANCE'!C634)</f>
        <v>2806528.21</v>
      </c>
      <c r="H36" s="748">
        <v>2910785</v>
      </c>
      <c r="I36" s="757"/>
      <c r="O36" s="753">
        <f>O35-H35</f>
        <v>36000.000000000466</v>
      </c>
      <c r="P36" s="753">
        <v>2806528</v>
      </c>
      <c r="Q36" s="753">
        <f t="shared" si="1"/>
        <v>2910785</v>
      </c>
    </row>
    <row r="37" spans="1:22">
      <c r="A37" s="755"/>
      <c r="C37" s="773" t="s">
        <v>3448</v>
      </c>
      <c r="D37" s="794">
        <v>27</v>
      </c>
      <c r="F37" s="748">
        <f>'Notes 18 - 35'!D262</f>
        <v>1186125.32</v>
      </c>
      <c r="H37" s="748">
        <f>SUM('Notes 18 - 35'!H262)</f>
        <v>981766</v>
      </c>
      <c r="I37" s="757"/>
      <c r="P37" s="753">
        <v>1186125</v>
      </c>
      <c r="R37" s="753">
        <f>H37</f>
        <v>981766</v>
      </c>
    </row>
    <row r="38" spans="1:22">
      <c r="A38" s="755"/>
      <c r="C38" s="773" t="s">
        <v>917</v>
      </c>
      <c r="D38" s="794"/>
      <c r="F38" s="748"/>
      <c r="H38" s="748"/>
      <c r="I38" s="757"/>
    </row>
    <row r="39" spans="1:22">
      <c r="A39" s="755"/>
      <c r="C39" s="775" t="s">
        <v>1609</v>
      </c>
      <c r="D39" s="794">
        <v>28</v>
      </c>
      <c r="F39" s="748">
        <f>SUM('TRAIL BALANCE'!C542+'TRAIL BALANCE'!C560)</f>
        <v>12752281.619999999</v>
      </c>
      <c r="H39" s="748">
        <f>'Notes 18 - 35'!H266</f>
        <v>11980707</v>
      </c>
      <c r="I39" s="757"/>
      <c r="P39" s="753">
        <v>127522282</v>
      </c>
      <c r="Q39" s="753">
        <f t="shared" si="1"/>
        <v>11980707</v>
      </c>
    </row>
    <row r="40" spans="1:22">
      <c r="A40" s="755"/>
      <c r="C40" s="775" t="s">
        <v>1612</v>
      </c>
      <c r="D40" s="794">
        <v>28</v>
      </c>
      <c r="F40" s="748">
        <f>'Notes 18 - 35'!D267</f>
        <v>0</v>
      </c>
      <c r="H40" s="748">
        <f>'Notes 18 - 35'!H267</f>
        <v>0</v>
      </c>
      <c r="I40" s="757"/>
    </row>
    <row r="41" spans="1:22">
      <c r="A41" s="755"/>
      <c r="C41" s="773" t="s">
        <v>1632</v>
      </c>
      <c r="D41" s="794"/>
      <c r="F41" s="748">
        <f>SUM('TRAIL BALANCE'!C33+'TRAIL BALANCE'!C82)</f>
        <v>2573241.02</v>
      </c>
      <c r="H41" s="748">
        <v>1418102</v>
      </c>
      <c r="I41" s="757"/>
      <c r="P41" s="753">
        <v>2573241</v>
      </c>
      <c r="Q41" s="753">
        <f t="shared" si="1"/>
        <v>1418102</v>
      </c>
    </row>
    <row r="42" spans="1:22">
      <c r="A42" s="755"/>
      <c r="C42" s="773" t="s">
        <v>1633</v>
      </c>
      <c r="D42" s="794">
        <v>30</v>
      </c>
      <c r="F42" s="748">
        <f>'Notes 18 - 35'!D292</f>
        <v>17516469</v>
      </c>
      <c r="H42" s="748">
        <f>SUM('Notes 18 - 35'!H292)</f>
        <v>21296951</v>
      </c>
      <c r="I42" s="757"/>
      <c r="O42" s="753">
        <f>'Notes 18 - 35'!D292</f>
        <v>17516469</v>
      </c>
      <c r="P42" s="753">
        <f>32655271-321736-12752282-2573241+438143+70314</f>
        <v>17516469</v>
      </c>
      <c r="Q42" s="753">
        <f t="shared" si="1"/>
        <v>21296951</v>
      </c>
    </row>
    <row r="43" spans="1:22">
      <c r="A43" s="755"/>
      <c r="C43" s="773" t="s">
        <v>1634</v>
      </c>
      <c r="D43" s="794"/>
      <c r="F43" s="748">
        <v>0</v>
      </c>
      <c r="H43" s="748">
        <v>0</v>
      </c>
      <c r="I43" s="757"/>
    </row>
    <row r="44" spans="1:22" s="763" customFormat="1" ht="15">
      <c r="A44" s="762"/>
      <c r="C44" s="783" t="s">
        <v>3555</v>
      </c>
      <c r="D44" s="795"/>
      <c r="F44" s="796">
        <f>SUM(F31:F43)</f>
        <v>63352549.189999998</v>
      </c>
      <c r="G44" s="787"/>
      <c r="H44" s="796">
        <f>SUM(H31:H43)</f>
        <v>63686051.879999995</v>
      </c>
      <c r="I44" s="765"/>
      <c r="J44" s="770"/>
      <c r="K44" s="770"/>
      <c r="L44" s="770"/>
      <c r="M44" s="770"/>
      <c r="N44" s="770"/>
      <c r="O44" s="766"/>
      <c r="P44" s="766"/>
      <c r="Q44" s="766">
        <f>SUM(Q31:Q43)</f>
        <v>59408776.799999997</v>
      </c>
      <c r="R44" s="766">
        <f>SUM(R31:R43)</f>
        <v>4277275.08</v>
      </c>
      <c r="S44" s="766"/>
      <c r="T44" s="766"/>
      <c r="U44" s="766"/>
      <c r="V44" s="766"/>
    </row>
    <row r="45" spans="1:22">
      <c r="A45" s="755"/>
      <c r="C45" s="792"/>
      <c r="F45" s="791"/>
      <c r="H45" s="791"/>
      <c r="I45" s="757"/>
      <c r="Q45" s="753" t="e">
        <f>'Cash Flow Statement'!#REF!</f>
        <v>#REF!</v>
      </c>
    </row>
    <row r="46" spans="1:22" s="763" customFormat="1" ht="15">
      <c r="A46" s="762"/>
      <c r="C46" s="797" t="s">
        <v>3385</v>
      </c>
      <c r="D46" s="798"/>
      <c r="F46" s="799">
        <f>F27-F44</f>
        <v>10925289.24000001</v>
      </c>
      <c r="G46" s="787"/>
      <c r="H46" s="799">
        <f>H27-H44</f>
        <v>-9086410.359999992</v>
      </c>
      <c r="I46" s="765"/>
      <c r="J46" s="770"/>
      <c r="K46" s="770"/>
      <c r="L46" s="770"/>
      <c r="M46" s="770"/>
      <c r="N46" s="770"/>
      <c r="O46" s="766"/>
      <c r="P46" s="766"/>
      <c r="Q46" s="766" t="e">
        <f>Q44-Q45</f>
        <v>#REF!</v>
      </c>
      <c r="R46" s="766"/>
      <c r="S46" s="766"/>
      <c r="T46" s="766"/>
      <c r="U46" s="766"/>
      <c r="V46" s="766"/>
    </row>
    <row r="47" spans="1:22" s="763" customFormat="1" ht="15">
      <c r="A47" s="762"/>
      <c r="C47" s="800"/>
      <c r="D47" s="801"/>
      <c r="F47" s="786"/>
      <c r="G47" s="787"/>
      <c r="H47" s="786"/>
      <c r="I47" s="765"/>
      <c r="J47" s="770"/>
      <c r="K47" s="770"/>
      <c r="L47" s="770"/>
      <c r="M47" s="770"/>
      <c r="N47" s="770"/>
      <c r="O47" s="766"/>
      <c r="Q47" s="766"/>
      <c r="R47" s="766"/>
      <c r="S47" s="766"/>
      <c r="T47" s="766"/>
      <c r="U47" s="766"/>
      <c r="V47" s="766"/>
    </row>
    <row r="48" spans="1:22" s="763" customFormat="1" ht="15">
      <c r="A48" s="762"/>
      <c r="C48" s="788"/>
      <c r="D48" s="764"/>
      <c r="F48" s="791"/>
      <c r="G48" s="768"/>
      <c r="H48" s="791"/>
      <c r="I48" s="765"/>
      <c r="J48" s="770"/>
      <c r="K48" s="770"/>
      <c r="L48" s="770"/>
      <c r="M48" s="770"/>
      <c r="N48" s="770"/>
      <c r="O48" s="766"/>
      <c r="P48" s="766">
        <f>H44-H35-H37</f>
        <v>59408776.799999997</v>
      </c>
      <c r="Q48" s="766">
        <f>H46-H17+H35+H37</f>
        <v>-4847214.2799999919</v>
      </c>
      <c r="R48" s="766"/>
      <c r="S48" s="766"/>
      <c r="T48" s="766"/>
      <c r="U48" s="766"/>
      <c r="V48" s="766"/>
    </row>
    <row r="49" spans="1:22" s="763" customFormat="1" ht="15">
      <c r="A49" s="762"/>
      <c r="C49" s="783" t="s">
        <v>3556</v>
      </c>
      <c r="D49" s="802"/>
      <c r="F49" s="796">
        <f>F46</f>
        <v>10925289.24000001</v>
      </c>
      <c r="G49" s="787"/>
      <c r="H49" s="796">
        <f>H46</f>
        <v>-9086410.359999992</v>
      </c>
      <c r="I49" s="765"/>
      <c r="J49" s="770"/>
      <c r="K49" s="770"/>
      <c r="L49" s="770"/>
      <c r="M49" s="770"/>
      <c r="N49" s="770"/>
      <c r="O49" s="766"/>
      <c r="P49" s="766">
        <f>P27-P48</f>
        <v>-4847214.2799999937</v>
      </c>
      <c r="Q49" s="766"/>
      <c r="R49" s="766"/>
      <c r="S49" s="766"/>
      <c r="T49" s="766"/>
      <c r="U49" s="766"/>
      <c r="V49" s="766"/>
    </row>
    <row r="50" spans="1:22" ht="9.75" customHeight="1">
      <c r="A50" s="803"/>
      <c r="B50" s="804"/>
      <c r="C50" s="804"/>
      <c r="D50" s="805"/>
      <c r="E50" s="804"/>
      <c r="F50" s="806"/>
      <c r="G50" s="807"/>
      <c r="H50" s="806"/>
      <c r="I50" s="808"/>
    </row>
    <row r="51" spans="1:22" ht="15">
      <c r="P51" s="766">
        <f>F44-F35-F37-F33</f>
        <v>58590990.409999996</v>
      </c>
    </row>
    <row r="52" spans="1:22">
      <c r="O52" s="753">
        <v>8710527</v>
      </c>
      <c r="P52" s="753">
        <f>P26-P51</f>
        <v>15137803.520000011</v>
      </c>
    </row>
    <row r="61" spans="1:22">
      <c r="F61" s="760">
        <f>F35*2</f>
        <v>6985828.3600000003</v>
      </c>
    </row>
  </sheetData>
  <mergeCells count="4">
    <mergeCell ref="F5:H5"/>
    <mergeCell ref="C1:H1"/>
    <mergeCell ref="C2:H2"/>
    <mergeCell ref="C3:H3"/>
  </mergeCells>
  <phoneticPr fontId="0" type="noConversion"/>
  <printOptions horizontalCentered="1"/>
  <pageMargins left="0.6692913385826772" right="0.39370078740157483" top="0.98425196850393704" bottom="0.98425196850393704" header="0.51181102362204722" footer="0.51181102362204722"/>
  <pageSetup scale="87" orientation="portrait" r:id="rId1"/>
  <headerFooter alignWithMargins="0">
    <oddHeader>&amp;C FINANCIAL STATEMENTS: MUSINA LOCAL MUNICIPALITY</oddHeader>
    <oddFooter>&amp;RPage &amp;P</oddFooter>
  </headerFooter>
  <legacyDrawing r:id="rId2"/>
</worksheet>
</file>

<file path=xl/worksheets/sheet7.xml><?xml version="1.0" encoding="utf-8"?>
<worksheet xmlns="http://schemas.openxmlformats.org/spreadsheetml/2006/main" xmlns:r="http://schemas.openxmlformats.org/officeDocument/2006/relationships">
  <sheetPr>
    <pageSetUpPr fitToPage="1"/>
  </sheetPr>
  <dimension ref="A1:J52"/>
  <sheetViews>
    <sheetView view="pageBreakPreview" topLeftCell="A4" zoomScaleNormal="90" zoomScaleSheetLayoutView="100" workbookViewId="0">
      <pane xSplit="1" ySplit="1" topLeftCell="B5" activePane="bottomRight" state="frozen"/>
      <selection activeCell="A14" sqref="A14"/>
      <selection pane="topRight" activeCell="A14" sqref="A14"/>
      <selection pane="bottomLeft" activeCell="A14" sqref="A14"/>
      <selection pane="bottomRight" activeCell="A14" sqref="A14"/>
    </sheetView>
  </sheetViews>
  <sheetFormatPr defaultRowHeight="12.75"/>
  <cols>
    <col min="1" max="1" width="38.28515625" style="133" bestFit="1" customWidth="1"/>
    <col min="2" max="2" width="16.7109375" style="136" bestFit="1" customWidth="1"/>
    <col min="3" max="3" width="15" style="136" bestFit="1" customWidth="1"/>
    <col min="4" max="4" width="13.42578125" style="136" customWidth="1"/>
    <col min="5" max="5" width="16.7109375" style="136" bestFit="1" customWidth="1"/>
    <col min="6" max="6" width="19.140625" style="136" customWidth="1"/>
    <col min="7" max="7" width="17.28515625" style="136" bestFit="1" customWidth="1"/>
    <col min="8" max="8" width="14.5703125" style="358" bestFit="1" customWidth="1"/>
    <col min="9" max="9" width="17.42578125" style="358" bestFit="1" customWidth="1"/>
    <col min="10" max="10" width="17.5703125" style="358" bestFit="1" customWidth="1"/>
    <col min="11" max="16384" width="9.140625" style="133"/>
  </cols>
  <sheetData>
    <row r="1" spans="1:10" ht="15.75">
      <c r="A1" s="1325" t="s">
        <v>2385</v>
      </c>
      <c r="B1" s="1325"/>
      <c r="C1" s="1325"/>
      <c r="D1" s="1325"/>
      <c r="E1" s="1325"/>
      <c r="F1" s="1325"/>
      <c r="G1" s="1325"/>
      <c r="H1" s="623"/>
      <c r="I1" s="623"/>
      <c r="J1" s="623"/>
    </row>
    <row r="2" spans="1:10">
      <c r="A2" s="1326" t="s">
        <v>3093</v>
      </c>
      <c r="B2" s="1326"/>
      <c r="C2" s="1326"/>
      <c r="D2" s="1326"/>
      <c r="E2" s="1326"/>
      <c r="F2" s="1326"/>
      <c r="G2" s="1326"/>
      <c r="H2" s="624"/>
      <c r="I2" s="624"/>
      <c r="J2" s="624"/>
    </row>
    <row r="3" spans="1:10">
      <c r="A3" s="23"/>
      <c r="B3" s="359"/>
      <c r="C3" s="359"/>
      <c r="D3" s="359"/>
      <c r="E3" s="359"/>
      <c r="F3" s="359"/>
      <c r="G3" s="359"/>
      <c r="H3" s="625"/>
      <c r="I3" s="625"/>
      <c r="J3" s="625"/>
    </row>
    <row r="4" spans="1:10" s="134" customFormat="1" ht="57.75" customHeight="1">
      <c r="A4" s="137"/>
      <c r="B4" s="387" t="s">
        <v>2554</v>
      </c>
      <c r="C4" s="388" t="s">
        <v>3138</v>
      </c>
      <c r="D4" s="388" t="s">
        <v>2379</v>
      </c>
      <c r="E4" s="388" t="s">
        <v>2382</v>
      </c>
      <c r="F4" s="387" t="s">
        <v>2383</v>
      </c>
      <c r="G4" s="388" t="s">
        <v>2384</v>
      </c>
      <c r="H4" s="613"/>
      <c r="I4" s="613"/>
      <c r="J4" s="613"/>
    </row>
    <row r="5" spans="1:10">
      <c r="A5" s="264"/>
      <c r="B5" s="5" t="s">
        <v>3386</v>
      </c>
      <c r="C5" s="5" t="s">
        <v>3386</v>
      </c>
      <c r="D5" s="5" t="s">
        <v>3386</v>
      </c>
      <c r="E5" s="5" t="s">
        <v>3386</v>
      </c>
      <c r="F5" s="5" t="s">
        <v>3386</v>
      </c>
      <c r="G5" s="5" t="s">
        <v>3386</v>
      </c>
    </row>
    <row r="6" spans="1:10">
      <c r="A6" s="265">
        <v>2007</v>
      </c>
      <c r="B6" s="135"/>
      <c r="C6" s="135"/>
      <c r="D6" s="135"/>
      <c r="E6" s="135"/>
      <c r="F6" s="135"/>
      <c r="G6" s="135"/>
    </row>
    <row r="7" spans="1:10" s="2" customFormat="1">
      <c r="A7" s="266" t="s">
        <v>3559</v>
      </c>
      <c r="B7" s="6">
        <f>'Note 38'!F14+'Note 38'!F33</f>
        <v>60117591.950000003</v>
      </c>
      <c r="C7" s="6">
        <v>0</v>
      </c>
      <c r="D7" s="6">
        <v>0</v>
      </c>
      <c r="E7" s="6">
        <v>0</v>
      </c>
      <c r="F7" s="6">
        <f>-'main TB'!H42</f>
        <v>-23127785.060000002</v>
      </c>
      <c r="G7" s="6">
        <f>SUM(B7:F7)</f>
        <v>36989806.890000001</v>
      </c>
      <c r="H7" s="624"/>
      <c r="I7" s="624"/>
      <c r="J7" s="624"/>
    </row>
    <row r="8" spans="1:10">
      <c r="A8" s="331" t="s">
        <v>2553</v>
      </c>
      <c r="B8" s="135">
        <f>-B7</f>
        <v>-60117591.950000003</v>
      </c>
      <c r="C8" s="135">
        <f>'Note 38'!F17</f>
        <v>21252</v>
      </c>
      <c r="D8" s="135">
        <f>'Note 38'!F22</f>
        <v>960</v>
      </c>
      <c r="E8" s="135">
        <v>0</v>
      </c>
      <c r="F8" s="135">
        <f>'Note 38'!F71</f>
        <v>49712380.609999999</v>
      </c>
      <c r="G8" s="135">
        <f>SUM(B8:F8)</f>
        <v>-10382999.340000004</v>
      </c>
    </row>
    <row r="9" spans="1:10">
      <c r="A9" s="267" t="s">
        <v>3560</v>
      </c>
      <c r="B9" s="135">
        <v>0</v>
      </c>
      <c r="C9" s="135">
        <v>0</v>
      </c>
      <c r="D9" s="135">
        <v>0</v>
      </c>
      <c r="E9" s="135">
        <v>0</v>
      </c>
      <c r="F9" s="135">
        <v>0</v>
      </c>
      <c r="G9" s="135">
        <f>SUM(B9:F9)</f>
        <v>0</v>
      </c>
    </row>
    <row r="10" spans="1:10">
      <c r="A10" s="267" t="s">
        <v>3560</v>
      </c>
      <c r="B10" s="135">
        <v>0</v>
      </c>
      <c r="C10" s="135">
        <v>0</v>
      </c>
      <c r="D10" s="135">
        <v>0</v>
      </c>
      <c r="E10" s="135">
        <v>0</v>
      </c>
      <c r="F10" s="135">
        <v>0</v>
      </c>
      <c r="G10" s="135">
        <f>SUM(B10:F10)</f>
        <v>0</v>
      </c>
    </row>
    <row r="11" spans="1:10" s="2" customFormat="1">
      <c r="A11" s="266" t="s">
        <v>3561</v>
      </c>
      <c r="B11" s="7">
        <f t="shared" ref="B11:G11" si="0">SUM(B7:B10)</f>
        <v>0</v>
      </c>
      <c r="C11" s="7">
        <f t="shared" si="0"/>
        <v>21252</v>
      </c>
      <c r="D11" s="7">
        <f t="shared" si="0"/>
        <v>960</v>
      </c>
      <c r="E11" s="7">
        <f t="shared" si="0"/>
        <v>0</v>
      </c>
      <c r="F11" s="7">
        <f t="shared" si="0"/>
        <v>26584595.549999997</v>
      </c>
      <c r="G11" s="7">
        <f t="shared" si="0"/>
        <v>26606807.549999997</v>
      </c>
      <c r="J11" s="624"/>
    </row>
    <row r="12" spans="1:10">
      <c r="A12" s="267" t="s">
        <v>1064</v>
      </c>
      <c r="B12" s="135"/>
      <c r="C12" s="135"/>
      <c r="D12" s="135"/>
      <c r="E12" s="135"/>
      <c r="F12" s="135">
        <f>'Statement of Financial Performa'!H46</f>
        <v>-9086410.359999992</v>
      </c>
      <c r="G12" s="135">
        <f>SUM(B12:F12)</f>
        <v>-9086410.359999992</v>
      </c>
      <c r="I12" s="358">
        <f>3429020-3492914</f>
        <v>-63894</v>
      </c>
    </row>
    <row r="13" spans="1:10">
      <c r="A13" s="693" t="s">
        <v>1629</v>
      </c>
      <c r="B13" s="135"/>
      <c r="C13" s="135"/>
      <c r="D13" s="135"/>
      <c r="E13" s="135"/>
      <c r="F13" s="135">
        <f>'Statement of Financial Performa'!H35</f>
        <v>3295509.0799999996</v>
      </c>
      <c r="G13" s="135">
        <f t="shared" ref="G13:G19" si="1">SUM(B13:F13)</f>
        <v>3295509.0799999996</v>
      </c>
    </row>
    <row r="14" spans="1:10">
      <c r="A14" s="267" t="s">
        <v>3564</v>
      </c>
      <c r="B14" s="135"/>
      <c r="C14" s="135">
        <f>3429019+1</f>
        <v>3429020</v>
      </c>
      <c r="D14" s="135"/>
      <c r="E14" s="135"/>
      <c r="F14" s="135">
        <v>-3429020</v>
      </c>
      <c r="G14" s="135">
        <f t="shared" si="1"/>
        <v>0</v>
      </c>
      <c r="I14" s="626"/>
    </row>
    <row r="15" spans="1:10">
      <c r="A15" s="331" t="s">
        <v>1526</v>
      </c>
      <c r="B15" s="135"/>
      <c r="C15" s="135"/>
      <c r="D15" s="135"/>
      <c r="E15" s="135"/>
      <c r="F15" s="135">
        <v>-930000</v>
      </c>
      <c r="G15" s="135">
        <f t="shared" si="1"/>
        <v>-930000</v>
      </c>
    </row>
    <row r="16" spans="1:10">
      <c r="A16" s="331" t="s">
        <v>1525</v>
      </c>
      <c r="B16" s="135"/>
      <c r="C16" s="135"/>
      <c r="D16" s="135"/>
      <c r="E16" s="135"/>
      <c r="F16" s="135">
        <v>-188346</v>
      </c>
      <c r="G16" s="135">
        <f t="shared" si="1"/>
        <v>-188346</v>
      </c>
      <c r="H16" s="358">
        <f>'Statement of Financial Position'!E14</f>
        <v>16257460.29999999</v>
      </c>
    </row>
    <row r="17" spans="1:10">
      <c r="A17" s="714" t="s">
        <v>1567</v>
      </c>
      <c r="B17" s="135"/>
      <c r="C17" s="135"/>
      <c r="D17" s="135"/>
      <c r="E17" s="135"/>
      <c r="F17" s="135">
        <v>-263</v>
      </c>
      <c r="G17" s="135">
        <f t="shared" si="1"/>
        <v>-263</v>
      </c>
      <c r="H17" s="358">
        <f>SUM(H16:H16)</f>
        <v>16257460.29999999</v>
      </c>
    </row>
    <row r="18" spans="1:10">
      <c r="A18" s="331" t="s">
        <v>1524</v>
      </c>
      <c r="B18" s="135">
        <f>'Statement of Financial Position'!E11</f>
        <v>1023150.2299999993</v>
      </c>
      <c r="C18" s="135"/>
      <c r="D18" s="135"/>
      <c r="E18" s="135"/>
      <c r="F18" s="135">
        <v>0</v>
      </c>
      <c r="G18" s="135">
        <f>SUM(B18:F18)</f>
        <v>1023150.2299999993</v>
      </c>
      <c r="H18" s="358" t="s">
        <v>55</v>
      </c>
    </row>
    <row r="19" spans="1:10">
      <c r="A19" s="267" t="s">
        <v>3565</v>
      </c>
      <c r="B19" s="135"/>
      <c r="C19" s="135">
        <v>-11075</v>
      </c>
      <c r="D19" s="135">
        <v>-320</v>
      </c>
      <c r="E19" s="135"/>
      <c r="F19" s="135">
        <v>11395</v>
      </c>
      <c r="G19" s="135">
        <f t="shared" si="1"/>
        <v>0</v>
      </c>
    </row>
    <row r="20" spans="1:10" s="2" customFormat="1" ht="13.5" thickBot="1">
      <c r="A20" s="266" t="s">
        <v>2378</v>
      </c>
      <c r="B20" s="8">
        <f t="shared" ref="B20:G20" si="2">SUM(B11:B19)</f>
        <v>1023150.2299999993</v>
      </c>
      <c r="C20" s="8">
        <f t="shared" si="2"/>
        <v>3439197</v>
      </c>
      <c r="D20" s="8">
        <f t="shared" si="2"/>
        <v>640</v>
      </c>
      <c r="E20" s="8">
        <f t="shared" si="2"/>
        <v>0</v>
      </c>
      <c r="F20" s="8">
        <f t="shared" si="2"/>
        <v>16257460.270000003</v>
      </c>
      <c r="G20" s="8">
        <f t="shared" si="2"/>
        <v>20720447.500000004</v>
      </c>
      <c r="H20" s="624">
        <f>'Statement of Financial Position'!E9</f>
        <v>20720447.019999988</v>
      </c>
      <c r="I20" s="681"/>
      <c r="J20" s="624"/>
    </row>
    <row r="21" spans="1:10" ht="13.5" thickTop="1">
      <c r="A21" s="266"/>
      <c r="B21" s="135"/>
      <c r="C21" s="135"/>
      <c r="D21" s="135"/>
      <c r="E21" s="135"/>
      <c r="F21" s="135"/>
      <c r="G21" s="135"/>
      <c r="H21" s="358">
        <f>-G20</f>
        <v>-20720447.500000004</v>
      </c>
    </row>
    <row r="22" spans="1:10">
      <c r="A22" s="265">
        <v>2008</v>
      </c>
      <c r="B22" s="135"/>
      <c r="C22" s="135"/>
      <c r="D22" s="135"/>
      <c r="E22" s="135"/>
      <c r="F22" s="135"/>
      <c r="G22" s="135"/>
      <c r="H22" s="358">
        <f>SUM(H20:H21)</f>
        <v>-0.48000001534819603</v>
      </c>
    </row>
    <row r="23" spans="1:10">
      <c r="A23" s="267" t="s">
        <v>3566</v>
      </c>
      <c r="B23" s="135">
        <v>0</v>
      </c>
      <c r="C23" s="135">
        <v>0</v>
      </c>
      <c r="D23" s="135">
        <v>0</v>
      </c>
      <c r="E23" s="135">
        <v>0</v>
      </c>
      <c r="F23" s="135">
        <v>0</v>
      </c>
      <c r="G23" s="135">
        <f>SUM(B23:F23)</f>
        <v>0</v>
      </c>
    </row>
    <row r="24" spans="1:10">
      <c r="A24" s="267" t="s">
        <v>3567</v>
      </c>
      <c r="B24" s="135">
        <v>0</v>
      </c>
      <c r="C24" s="135">
        <v>0</v>
      </c>
      <c r="D24" s="135">
        <v>0</v>
      </c>
      <c r="E24" s="135">
        <v>0</v>
      </c>
      <c r="F24" s="135">
        <v>0</v>
      </c>
      <c r="G24" s="135">
        <f>SUM(B24:F24)</f>
        <v>0</v>
      </c>
    </row>
    <row r="25" spans="1:10" ht="13.5" thickBot="1">
      <c r="A25" s="266" t="s">
        <v>3561</v>
      </c>
      <c r="B25" s="8">
        <f t="shared" ref="B25:G25" si="3">SUM(B20:B24)</f>
        <v>1023150.2299999993</v>
      </c>
      <c r="C25" s="8">
        <f t="shared" si="3"/>
        <v>3439197</v>
      </c>
      <c r="D25" s="8">
        <f t="shared" si="3"/>
        <v>640</v>
      </c>
      <c r="E25" s="8">
        <f t="shared" si="3"/>
        <v>0</v>
      </c>
      <c r="F25" s="8">
        <f t="shared" si="3"/>
        <v>16257460.270000003</v>
      </c>
      <c r="G25" s="8">
        <f t="shared" si="3"/>
        <v>20720447.500000004</v>
      </c>
      <c r="H25" s="218"/>
      <c r="I25" s="358">
        <f>3379362.57-3492914</f>
        <v>-113551.43000000017</v>
      </c>
    </row>
    <row r="26" spans="1:10" ht="13.5" thickTop="1">
      <c r="A26" s="267" t="s">
        <v>3562</v>
      </c>
      <c r="B26" s="135">
        <v>0</v>
      </c>
      <c r="C26" s="135">
        <v>0</v>
      </c>
      <c r="D26" s="135">
        <v>0</v>
      </c>
      <c r="E26" s="135">
        <v>0</v>
      </c>
      <c r="F26" s="135">
        <f>'Statement of Financial Performa'!F46</f>
        <v>10925289.24000001</v>
      </c>
      <c r="G26" s="135">
        <f>SUM(B26:F26)</f>
        <v>10925289.24000001</v>
      </c>
      <c r="H26" s="136"/>
    </row>
    <row r="27" spans="1:10">
      <c r="A27" s="267" t="s">
        <v>3563</v>
      </c>
      <c r="B27" s="135">
        <v>0</v>
      </c>
      <c r="C27" s="135">
        <f>2087117+43385</f>
        <v>2130502</v>
      </c>
      <c r="D27" s="135">
        <v>0</v>
      </c>
      <c r="E27" s="135">
        <v>0</v>
      </c>
      <c r="F27" s="135">
        <f>-C27-0.44</f>
        <v>-2130502.44</v>
      </c>
      <c r="G27" s="135">
        <f t="shared" ref="G27:G34" si="4">SUM(B27:F27)</f>
        <v>-0.43999999994412065</v>
      </c>
    </row>
    <row r="28" spans="1:10">
      <c r="A28" s="331" t="s">
        <v>1524</v>
      </c>
      <c r="B28" s="135">
        <f>-B18</f>
        <v>-1023150.2299999993</v>
      </c>
      <c r="C28" s="135"/>
      <c r="D28" s="135"/>
      <c r="E28" s="135"/>
      <c r="F28" s="135"/>
      <c r="G28" s="135">
        <f>SUM(B28:F28)</f>
        <v>-1023150.2299999993</v>
      </c>
    </row>
    <row r="29" spans="1:10">
      <c r="A29" s="267" t="s">
        <v>940</v>
      </c>
      <c r="B29" s="135">
        <v>0</v>
      </c>
      <c r="C29" s="135">
        <v>0</v>
      </c>
      <c r="D29" s="135">
        <v>0</v>
      </c>
      <c r="E29" s="135">
        <v>0</v>
      </c>
      <c r="F29" s="715">
        <f>-5372637.16+2313593.52+240901.11+834954.6</f>
        <v>-1983187.9300000002</v>
      </c>
      <c r="G29" s="135">
        <f t="shared" si="4"/>
        <v>-1983187.9300000002</v>
      </c>
      <c r="H29" s="358">
        <v>1108495</v>
      </c>
      <c r="I29" s="358">
        <f>F29+H29</f>
        <v>-874692.93000000017</v>
      </c>
    </row>
    <row r="30" spans="1:10">
      <c r="A30" s="693" t="s">
        <v>2185</v>
      </c>
      <c r="B30" s="135"/>
      <c r="C30" s="135"/>
      <c r="D30" s="135"/>
      <c r="E30" s="135"/>
      <c r="F30" s="715">
        <v>-199737</v>
      </c>
      <c r="G30" s="135">
        <f t="shared" si="4"/>
        <v>-199737</v>
      </c>
    </row>
    <row r="31" spans="1:10">
      <c r="A31" s="714" t="s">
        <v>3667</v>
      </c>
      <c r="B31" s="135"/>
      <c r="C31" s="135"/>
      <c r="D31" s="135"/>
      <c r="E31" s="135"/>
      <c r="F31" s="135">
        <v>43485</v>
      </c>
      <c r="G31" s="135">
        <f t="shared" si="4"/>
        <v>43485</v>
      </c>
    </row>
    <row r="32" spans="1:10" s="214" customFormat="1">
      <c r="A32" s="714" t="s">
        <v>3667</v>
      </c>
      <c r="B32" s="616">
        <v>0</v>
      </c>
      <c r="C32" s="616">
        <v>-412.05</v>
      </c>
      <c r="D32" s="616">
        <v>0</v>
      </c>
      <c r="E32" s="616">
        <v>0</v>
      </c>
      <c r="F32" s="616">
        <v>412</v>
      </c>
      <c r="G32" s="135">
        <f t="shared" si="4"/>
        <v>-5.0000000000011369E-2</v>
      </c>
      <c r="H32" s="358">
        <v>213547</v>
      </c>
      <c r="I32" s="626"/>
      <c r="J32" s="626"/>
    </row>
    <row r="33" spans="1:9">
      <c r="A33" s="331" t="s">
        <v>1523</v>
      </c>
      <c r="B33" s="135">
        <v>0</v>
      </c>
      <c r="C33" s="135">
        <v>0</v>
      </c>
      <c r="D33" s="135">
        <v>0</v>
      </c>
      <c r="E33" s="135">
        <f>-'main TB'!U26</f>
        <v>82528503</v>
      </c>
      <c r="F33" s="135">
        <v>0</v>
      </c>
      <c r="G33" s="135">
        <f t="shared" si="4"/>
        <v>82528503</v>
      </c>
      <c r="H33" s="358">
        <v>-412</v>
      </c>
      <c r="I33" s="358">
        <f>412-322</f>
        <v>90</v>
      </c>
    </row>
    <row r="34" spans="1:9">
      <c r="A34" s="267" t="s">
        <v>3565</v>
      </c>
      <c r="B34" s="135">
        <v>0</v>
      </c>
      <c r="C34" s="135">
        <v>-26368</v>
      </c>
      <c r="D34" s="135">
        <v>-320</v>
      </c>
      <c r="E34" s="135">
        <v>0</v>
      </c>
      <c r="F34" s="135">
        <f>-C34-D34</f>
        <v>26688</v>
      </c>
      <c r="G34" s="135">
        <f t="shared" si="4"/>
        <v>0</v>
      </c>
      <c r="H34" s="358">
        <f>+H33+H32</f>
        <v>213135</v>
      </c>
    </row>
    <row r="35" spans="1:9" ht="13.5" thickBot="1">
      <c r="A35" s="266" t="s">
        <v>3101</v>
      </c>
      <c r="B35" s="8">
        <f>SUM(B25:B34)</f>
        <v>0</v>
      </c>
      <c r="C35" s="8">
        <f>SUM(C25:C34)</f>
        <v>5542918.9500000002</v>
      </c>
      <c r="D35" s="8">
        <f>SUM(D25:D34)</f>
        <v>320</v>
      </c>
      <c r="E35" s="8">
        <f>SUM(E25:E34)</f>
        <v>82528503</v>
      </c>
      <c r="F35" s="8">
        <f>SUM(F25:F34)+2</f>
        <v>22939909.140000012</v>
      </c>
      <c r="G35" s="8">
        <f>SUM(G25:G34)+4</f>
        <v>111011653.09</v>
      </c>
    </row>
    <row r="36" spans="1:9" ht="13.5" thickTop="1"/>
    <row r="37" spans="1:9">
      <c r="C37" s="136">
        <f>'main TB'!U23</f>
        <v>-5542919.1299999999</v>
      </c>
      <c r="D37" s="136">
        <f>'main TB'!U24</f>
        <v>-319.99</v>
      </c>
      <c r="E37" s="136">
        <f>'main TB'!U26</f>
        <v>-82528503</v>
      </c>
      <c r="F37" s="136">
        <f>-SUM('main TB'!U44)</f>
        <v>22939908.879999973</v>
      </c>
      <c r="G37" s="136">
        <f>'Statement of Financial Position'!C9</f>
        <v>111011652.60999997</v>
      </c>
      <c r="H37" s="626"/>
    </row>
    <row r="38" spans="1:9">
      <c r="C38" s="136">
        <f>SUM(C35:C37)</f>
        <v>-0.17999999970197678</v>
      </c>
      <c r="F38" s="136">
        <f>SUM(F35-F37)</f>
        <v>0.26000003889203072</v>
      </c>
      <c r="G38" s="136">
        <f>SUM(G35-G37)</f>
        <v>0.48000003397464752</v>
      </c>
    </row>
    <row r="39" spans="1:9">
      <c r="F39" s="133"/>
      <c r="G39" s="133"/>
      <c r="I39" s="358">
        <f>27099.81+16605.19</f>
        <v>43705</v>
      </c>
    </row>
    <row r="40" spans="1:9">
      <c r="I40" s="358">
        <v>-43486</v>
      </c>
    </row>
    <row r="41" spans="1:9">
      <c r="G41" s="136" t="s">
        <v>55</v>
      </c>
      <c r="I41" s="358">
        <f>SUM(I39:I40)</f>
        <v>219</v>
      </c>
    </row>
    <row r="42" spans="1:9">
      <c r="I42" s="358">
        <v>0</v>
      </c>
    </row>
    <row r="43" spans="1:9">
      <c r="A43" s="136">
        <f>9333047-7430395</f>
        <v>1902652</v>
      </c>
      <c r="E43" s="584"/>
      <c r="F43" s="1034"/>
      <c r="I43" s="358">
        <v>0</v>
      </c>
    </row>
    <row r="44" spans="1:9">
      <c r="A44" s="136">
        <f>1561547-1327937</f>
        <v>233610</v>
      </c>
      <c r="I44" s="358">
        <v>0</v>
      </c>
    </row>
    <row r="45" spans="1:9">
      <c r="A45" s="136">
        <f>11190007-12704116</f>
        <v>-1514109</v>
      </c>
    </row>
    <row r="46" spans="1:9">
      <c r="A46" s="136">
        <f>3773845-2541384</f>
        <v>1232461</v>
      </c>
    </row>
    <row r="47" spans="1:9">
      <c r="A47" s="136">
        <f>1902281-1755000</f>
        <v>147281</v>
      </c>
      <c r="C47" s="136">
        <v>19550460</v>
      </c>
    </row>
    <row r="48" spans="1:9">
      <c r="A48" s="136">
        <f>4133810-2101797-87947</f>
        <v>1944066</v>
      </c>
      <c r="C48" s="136">
        <v>-16257459</v>
      </c>
    </row>
    <row r="49" spans="1:3">
      <c r="A49" s="136">
        <f>2223891-387499</f>
        <v>1836392</v>
      </c>
      <c r="C49" s="136">
        <v>-10925289</v>
      </c>
    </row>
    <row r="50" spans="1:3">
      <c r="A50" s="136">
        <f>1811213-3194120</f>
        <v>-1382907</v>
      </c>
      <c r="C50" s="136">
        <v>2130502</v>
      </c>
    </row>
    <row r="51" spans="1:3">
      <c r="A51" s="136">
        <f>2191445-3887641</f>
        <v>-1696196</v>
      </c>
      <c r="C51" s="136">
        <v>-26688</v>
      </c>
    </row>
    <row r="52" spans="1:3">
      <c r="A52" s="136">
        <f>19550460-16257459-10925289+2130502-26688</f>
        <v>-5528474</v>
      </c>
      <c r="C52" s="136">
        <f>SUM(C47:C51)</f>
        <v>-5528474</v>
      </c>
    </row>
  </sheetData>
  <mergeCells count="2">
    <mergeCell ref="A1:G1"/>
    <mergeCell ref="A2:G2"/>
  </mergeCells>
  <phoneticPr fontId="0" type="noConversion"/>
  <printOptions horizontalCentered="1"/>
  <pageMargins left="0.6692913385826772" right="0.39370078740157483" top="0.98425196850393704" bottom="0.98425196850393704" header="0.51181102362204722" footer="0.51181102362204722"/>
  <pageSetup scale="84" orientation="landscape" r:id="rId1"/>
  <headerFooter alignWithMargins="0">
    <oddHeader>&amp;C FINANCIAL STATEMENTS: MUSINA LOCAL MUNICIPALITY</oddHeader>
    <oddFooter>&amp;RPage &amp;P</oddFooter>
  </headerFooter>
</worksheet>
</file>

<file path=xl/worksheets/sheet8.xml><?xml version="1.0" encoding="utf-8"?>
<worksheet xmlns="http://schemas.openxmlformats.org/spreadsheetml/2006/main" xmlns:r="http://schemas.openxmlformats.org/officeDocument/2006/relationships">
  <dimension ref="A1:R114"/>
  <sheetViews>
    <sheetView view="pageBreakPreview" topLeftCell="A11" zoomScaleNormal="80" zoomScaleSheetLayoutView="100" workbookViewId="0">
      <selection activeCell="A14" sqref="A14"/>
    </sheetView>
  </sheetViews>
  <sheetFormatPr defaultRowHeight="12.75"/>
  <cols>
    <col min="1" max="1" width="2.5703125" style="22" customWidth="1"/>
    <col min="2" max="2" width="51.42578125" style="22" bestFit="1" customWidth="1"/>
    <col min="3" max="3" width="7.140625" style="138" customWidth="1"/>
    <col min="4" max="4" width="15.140625" style="31" bestFit="1" customWidth="1"/>
    <col min="5" max="5" width="2" style="31" customWidth="1"/>
    <col min="6" max="6" width="15.42578125" style="31" bestFit="1" customWidth="1"/>
    <col min="7" max="7" width="2.7109375" style="22" customWidth="1"/>
    <col min="8" max="8" width="1.28515625" style="22" customWidth="1"/>
    <col min="9" max="9" width="15" style="31" bestFit="1" customWidth="1"/>
    <col min="10" max="10" width="13.5703125" style="31" bestFit="1" customWidth="1"/>
    <col min="11" max="11" width="14.5703125" style="31" bestFit="1" customWidth="1"/>
    <col min="12" max="12" width="14" style="31" bestFit="1" customWidth="1"/>
    <col min="13" max="13" width="14.5703125" style="31" bestFit="1" customWidth="1"/>
    <col min="14" max="14" width="9.140625" style="31" customWidth="1"/>
    <col min="15" max="15" width="12.85546875" style="1000" bestFit="1" customWidth="1"/>
    <col min="16" max="17" width="9.140625" style="1000" customWidth="1"/>
    <col min="18" max="16384" width="9.140625" style="22"/>
  </cols>
  <sheetData>
    <row r="1" spans="1:17">
      <c r="A1" s="195"/>
      <c r="B1" s="314"/>
      <c r="C1" s="315"/>
      <c r="D1" s="316"/>
      <c r="E1" s="316"/>
      <c r="F1" s="316"/>
      <c r="G1" s="317"/>
    </row>
    <row r="2" spans="1:17" ht="15.75">
      <c r="A2" s="157"/>
      <c r="B2" s="1327" t="s">
        <v>2387</v>
      </c>
      <c r="C2" s="1327"/>
      <c r="D2" s="1327"/>
      <c r="E2" s="1327"/>
      <c r="F2" s="1327"/>
      <c r="G2" s="207"/>
    </row>
    <row r="3" spans="1:17">
      <c r="A3" s="157"/>
      <c r="B3" s="1328" t="s">
        <v>1603</v>
      </c>
      <c r="C3" s="1328"/>
      <c r="D3" s="1328"/>
      <c r="E3" s="1328"/>
      <c r="F3" s="1328"/>
      <c r="G3" s="207"/>
    </row>
    <row r="4" spans="1:17" ht="15.75">
      <c r="A4" s="157"/>
      <c r="B4" s="1329" t="s">
        <v>3100</v>
      </c>
      <c r="C4" s="1330"/>
      <c r="D4" s="1330"/>
      <c r="E4" s="1330"/>
      <c r="F4" s="1330"/>
      <c r="G4" s="207"/>
    </row>
    <row r="5" spans="1:17">
      <c r="A5" s="157"/>
      <c r="B5" s="318"/>
      <c r="C5" s="319"/>
      <c r="D5" s="321"/>
      <c r="E5" s="361"/>
      <c r="F5" s="321"/>
      <c r="G5" s="207"/>
      <c r="I5" s="705"/>
      <c r="J5" s="705"/>
    </row>
    <row r="6" spans="1:17">
      <c r="A6" s="157"/>
      <c r="B6" s="318"/>
      <c r="C6" s="319"/>
      <c r="D6" s="321"/>
      <c r="E6" s="361"/>
      <c r="F6" s="321"/>
      <c r="G6" s="207"/>
      <c r="I6" s="705"/>
      <c r="J6" s="705"/>
    </row>
    <row r="7" spans="1:17">
      <c r="A7" s="157"/>
      <c r="B7" s="318"/>
      <c r="C7" s="319"/>
      <c r="D7" s="390" t="s">
        <v>2241</v>
      </c>
      <c r="E7" s="362"/>
      <c r="F7" s="390" t="s">
        <v>3558</v>
      </c>
      <c r="G7" s="207"/>
      <c r="I7" s="705"/>
      <c r="J7" s="705"/>
    </row>
    <row r="8" spans="1:17">
      <c r="A8" s="157"/>
      <c r="B8" s="203"/>
      <c r="C8" s="312" t="s">
        <v>1600</v>
      </c>
      <c r="D8" s="211" t="s">
        <v>3386</v>
      </c>
      <c r="E8" s="211"/>
      <c r="F8" s="211" t="s">
        <v>3386</v>
      </c>
      <c r="G8" s="207"/>
      <c r="I8" s="705"/>
      <c r="J8" s="705"/>
    </row>
    <row r="9" spans="1:17" s="9" customFormat="1">
      <c r="A9" s="196"/>
      <c r="B9" s="213" t="s">
        <v>2388</v>
      </c>
      <c r="C9" s="312"/>
      <c r="D9" s="211"/>
      <c r="E9" s="211"/>
      <c r="F9" s="211"/>
      <c r="G9" s="208"/>
      <c r="I9" s="712"/>
      <c r="J9" s="712"/>
      <c r="K9" s="1002"/>
      <c r="L9" s="1002"/>
      <c r="M9" s="1002"/>
      <c r="N9" s="1002"/>
      <c r="O9" s="1001"/>
      <c r="P9" s="1001"/>
      <c r="Q9" s="1001"/>
    </row>
    <row r="10" spans="1:17">
      <c r="A10" s="157"/>
      <c r="B10" s="203"/>
      <c r="C10" s="320"/>
      <c r="D10" s="321"/>
      <c r="E10" s="321"/>
      <c r="F10" s="321"/>
      <c r="G10" s="207"/>
    </row>
    <row r="11" spans="1:17">
      <c r="A11" s="157"/>
      <c r="B11" s="203" t="s">
        <v>2389</v>
      </c>
      <c r="C11" s="320"/>
      <c r="D11" s="321">
        <f>SUM('Statement of Financial Performa'!F27)+'Notes 18 - 35'!D313+'Notes 18 - 35'!D314+'Notes 18 - 35'!D324+'Notes 18 - 35'!D326+'Notes 18 - 35'!D336+'Notes 18 - 35'!D339+'Notes 18 - 35'!D333+'Notes 18 - 35'!D310+'Notes 18 - 35'!D329+'Notes 18 - 35'!D335+'Notes 18 - 35'!D316+'Notes 18 - 35'!D317+'Notes 18 - 35'!D318+'Notes 18 - 35'!D320+'Notes 18 - 35'!D321+'Notes 18 - 35'!D322+'Notes 18 - 35'!D323+'Notes 18 - 35'!D327</f>
        <v>73677133.719999984</v>
      </c>
      <c r="E11" s="321"/>
      <c r="F11" s="321">
        <v>59901624</v>
      </c>
      <c r="G11" s="207"/>
      <c r="L11" s="1003"/>
      <c r="M11" s="1003"/>
    </row>
    <row r="12" spans="1:17">
      <c r="A12" s="157"/>
      <c r="B12" s="203" t="s">
        <v>2390</v>
      </c>
      <c r="C12" s="320"/>
      <c r="D12" s="321">
        <f>-SUM('Statement of Financial Performa'!F44)+'Notes 18 - 35'!D311+'Notes 18 - 35'!D334-'Notes 18 - 35'!D312+'Notes 18 - 35'!D331</f>
        <v>-63663825.32</v>
      </c>
      <c r="E12" s="321"/>
      <c r="F12" s="321">
        <f>-60390540+6985768</f>
        <v>-53404772</v>
      </c>
      <c r="G12" s="207"/>
      <c r="J12" s="477"/>
    </row>
    <row r="13" spans="1:17">
      <c r="A13" s="157"/>
      <c r="B13" s="203"/>
      <c r="C13" s="320"/>
      <c r="D13" s="321"/>
      <c r="E13" s="321"/>
      <c r="F13" s="321"/>
      <c r="G13" s="207"/>
      <c r="I13" s="31">
        <f>'Notes 18 - 35'!D340</f>
        <v>10013308.400000004</v>
      </c>
      <c r="J13" s="477">
        <f>D14-I13</f>
        <v>-2.0489096641540527E-8</v>
      </c>
    </row>
    <row r="14" spans="1:17" s="9" customFormat="1">
      <c r="A14" s="196"/>
      <c r="B14" s="322" t="s">
        <v>1156</v>
      </c>
      <c r="C14" s="312"/>
      <c r="D14" s="211">
        <f>SUM(D11:D13)</f>
        <v>10013308.399999984</v>
      </c>
      <c r="E14" s="211"/>
      <c r="F14" s="211">
        <f>SUM(F11:F13)</f>
        <v>6496852</v>
      </c>
      <c r="G14" s="208"/>
      <c r="I14" s="364">
        <f>'Notes 18 - 35'!H340</f>
        <v>6496852</v>
      </c>
      <c r="J14" s="477">
        <f>F14-I14</f>
        <v>0</v>
      </c>
      <c r="K14" s="31"/>
      <c r="L14" s="1002"/>
      <c r="M14" s="1002"/>
      <c r="N14" s="1002"/>
      <c r="O14" s="1001"/>
      <c r="P14" s="1001"/>
      <c r="Q14" s="1001"/>
    </row>
    <row r="15" spans="1:17">
      <c r="A15" s="157"/>
      <c r="B15" s="203"/>
      <c r="C15" s="320"/>
      <c r="D15" s="321"/>
      <c r="E15" s="321"/>
      <c r="F15" s="321"/>
      <c r="G15" s="207"/>
      <c r="I15" s="713"/>
      <c r="J15" s="477"/>
    </row>
    <row r="16" spans="1:17" s="9" customFormat="1">
      <c r="A16" s="196"/>
      <c r="B16" s="203" t="s">
        <v>1157</v>
      </c>
      <c r="C16" s="320">
        <v>30</v>
      </c>
      <c r="D16" s="321">
        <f>+'Notes 18 - 35'!D158</f>
        <v>549044.5</v>
      </c>
      <c r="E16" s="321"/>
      <c r="F16" s="321">
        <v>38079</v>
      </c>
      <c r="G16" s="207"/>
      <c r="I16" s="364" t="s">
        <v>55</v>
      </c>
      <c r="J16" s="477"/>
      <c r="K16" s="31"/>
      <c r="L16" s="1002"/>
      <c r="M16" s="1002"/>
      <c r="N16" s="1002"/>
      <c r="O16" s="1001"/>
      <c r="P16" s="1001"/>
      <c r="Q16" s="1001"/>
    </row>
    <row r="17" spans="1:17">
      <c r="A17" s="157"/>
      <c r="B17" s="203" t="s">
        <v>1631</v>
      </c>
      <c r="C17" s="320"/>
      <c r="D17" s="321">
        <f>-SUM('Notes 18 - 35'!D262)</f>
        <v>-1186125.32</v>
      </c>
      <c r="E17" s="321"/>
      <c r="F17" s="321">
        <v>-981766</v>
      </c>
      <c r="G17" s="207"/>
      <c r="J17" s="477"/>
    </row>
    <row r="18" spans="1:17">
      <c r="A18" s="157"/>
      <c r="B18" s="203"/>
      <c r="C18" s="320"/>
      <c r="D18" s="321"/>
      <c r="E18" s="321"/>
      <c r="F18" s="321"/>
      <c r="G18" s="207"/>
      <c r="J18" s="477"/>
    </row>
    <row r="19" spans="1:17" ht="13.5" thickBot="1">
      <c r="A19" s="157"/>
      <c r="B19" s="322" t="s">
        <v>1158</v>
      </c>
      <c r="C19" s="312"/>
      <c r="D19" s="323">
        <f>SUM(D14:D18)</f>
        <v>9376227.5799999833</v>
      </c>
      <c r="E19" s="211"/>
      <c r="F19" s="323">
        <f>SUM(F14:F18)</f>
        <v>5553165</v>
      </c>
      <c r="G19" s="208"/>
      <c r="J19" s="477"/>
    </row>
    <row r="20" spans="1:17" ht="13.5" thickTop="1">
      <c r="A20" s="157"/>
      <c r="B20" s="322"/>
      <c r="C20" s="312"/>
      <c r="D20" s="210"/>
      <c r="E20" s="211"/>
      <c r="F20" s="210"/>
      <c r="G20" s="208"/>
      <c r="J20" s="477"/>
    </row>
    <row r="21" spans="1:17">
      <c r="A21" s="157"/>
      <c r="B21" s="203"/>
      <c r="C21" s="320"/>
      <c r="D21" s="324"/>
      <c r="E21" s="321"/>
      <c r="F21" s="324"/>
      <c r="G21" s="207"/>
      <c r="J21" s="477"/>
    </row>
    <row r="22" spans="1:17">
      <c r="A22" s="196"/>
      <c r="B22" s="213" t="s">
        <v>1159</v>
      </c>
      <c r="C22" s="312"/>
      <c r="D22" s="210"/>
      <c r="E22" s="211"/>
      <c r="F22" s="210"/>
      <c r="G22" s="208"/>
      <c r="J22" s="477"/>
    </row>
    <row r="23" spans="1:17">
      <c r="A23" s="157"/>
      <c r="B23" s="203"/>
      <c r="C23" s="320"/>
      <c r="D23" s="324"/>
      <c r="E23" s="321"/>
      <c r="F23" s="324"/>
      <c r="G23" s="207"/>
      <c r="J23" s="477"/>
    </row>
    <row r="24" spans="1:17" s="9" customFormat="1">
      <c r="A24" s="196"/>
      <c r="B24" s="203" t="s">
        <v>1160</v>
      </c>
      <c r="C24" s="320"/>
      <c r="D24" s="324">
        <v>-7516486</v>
      </c>
      <c r="E24" s="321"/>
      <c r="F24" s="324">
        <v>-3507652</v>
      </c>
      <c r="G24" s="207"/>
      <c r="I24" s="364" t="s">
        <v>55</v>
      </c>
      <c r="J24" s="477"/>
      <c r="K24" s="31"/>
      <c r="L24" s="1002"/>
      <c r="M24" s="1002"/>
      <c r="N24" s="1002"/>
      <c r="O24" s="1001"/>
      <c r="P24" s="1001"/>
      <c r="Q24" s="1001"/>
    </row>
    <row r="25" spans="1:17">
      <c r="A25" s="157"/>
      <c r="B25" s="203" t="s">
        <v>1161</v>
      </c>
      <c r="C25" s="320"/>
      <c r="D25" s="324">
        <v>0</v>
      </c>
      <c r="E25" s="321"/>
      <c r="F25" s="680">
        <v>2690004</v>
      </c>
      <c r="G25" s="207"/>
      <c r="I25" s="1032" t="s">
        <v>55</v>
      </c>
      <c r="J25" s="477"/>
    </row>
    <row r="26" spans="1:17">
      <c r="A26" s="157"/>
      <c r="B26" s="241"/>
      <c r="C26" s="320"/>
      <c r="D26" s="324"/>
      <c r="E26" s="321"/>
      <c r="F26" s="324"/>
      <c r="G26" s="207"/>
      <c r="I26" s="1032" t="s">
        <v>55</v>
      </c>
      <c r="J26" s="477"/>
    </row>
    <row r="27" spans="1:17" ht="13.5" thickBot="1">
      <c r="A27" s="157"/>
      <c r="B27" s="360" t="s">
        <v>680</v>
      </c>
      <c r="C27" s="312"/>
      <c r="D27" s="323">
        <f>SUM(D24:D25)</f>
        <v>-7516486</v>
      </c>
      <c r="E27" s="211"/>
      <c r="F27" s="323">
        <f>SUM(F24:F25)</f>
        <v>-817648</v>
      </c>
      <c r="G27" s="208"/>
      <c r="J27" s="477"/>
    </row>
    <row r="28" spans="1:17" ht="13.5" thickTop="1">
      <c r="A28" s="157"/>
      <c r="B28" s="360"/>
      <c r="C28" s="312"/>
      <c r="D28" s="210"/>
      <c r="E28" s="211"/>
      <c r="F28" s="210"/>
      <c r="G28" s="208"/>
      <c r="I28" s="31" t="s">
        <v>55</v>
      </c>
      <c r="J28" s="477"/>
    </row>
    <row r="29" spans="1:17">
      <c r="A29" s="157"/>
      <c r="B29" s="241"/>
      <c r="C29" s="320"/>
      <c r="D29" s="324"/>
      <c r="E29" s="321"/>
      <c r="F29" s="324"/>
      <c r="G29" s="207"/>
      <c r="J29" s="477"/>
    </row>
    <row r="30" spans="1:17" s="9" customFormat="1">
      <c r="A30" s="196"/>
      <c r="B30" s="242" t="s">
        <v>681</v>
      </c>
      <c r="C30" s="312"/>
      <c r="D30" s="210"/>
      <c r="E30" s="211"/>
      <c r="F30" s="210"/>
      <c r="G30" s="208"/>
      <c r="I30" s="1002"/>
      <c r="J30" s="477"/>
      <c r="K30" s="31"/>
      <c r="L30" s="1002"/>
      <c r="M30" s="1002"/>
      <c r="N30" s="1002"/>
      <c r="O30" s="1001"/>
      <c r="P30" s="1001"/>
      <c r="Q30" s="1001"/>
    </row>
    <row r="31" spans="1:17">
      <c r="A31" s="157"/>
      <c r="B31" s="241"/>
      <c r="C31" s="320"/>
      <c r="D31" s="324"/>
      <c r="E31" s="321"/>
      <c r="F31" s="324"/>
      <c r="G31" s="207"/>
      <c r="J31" s="477"/>
    </row>
    <row r="32" spans="1:17" s="9" customFormat="1">
      <c r="A32" s="196"/>
      <c r="B32" s="241" t="s">
        <v>682</v>
      </c>
      <c r="C32" s="320"/>
      <c r="D32" s="324">
        <f>+'Statement of Financial Position'!C17-'Statement of Financial Position'!E17</f>
        <v>1902651.9800000004</v>
      </c>
      <c r="E32" s="321"/>
      <c r="F32" s="324">
        <v>-2730331</v>
      </c>
      <c r="G32" s="207"/>
      <c r="I32" s="1002"/>
      <c r="J32" s="477" t="s">
        <v>55</v>
      </c>
      <c r="K32" s="1002"/>
      <c r="L32" s="477"/>
      <c r="M32" s="477"/>
      <c r="N32" s="1002"/>
      <c r="O32" s="1001"/>
      <c r="P32" s="1001"/>
      <c r="Q32" s="1001"/>
    </row>
    <row r="33" spans="1:12">
      <c r="A33" s="157"/>
      <c r="B33" s="241" t="s">
        <v>2189</v>
      </c>
      <c r="C33" s="320"/>
      <c r="D33" s="324">
        <v>233611</v>
      </c>
      <c r="E33" s="321"/>
      <c r="F33" s="324">
        <v>0</v>
      </c>
      <c r="G33" s="207"/>
      <c r="J33" s="477"/>
    </row>
    <row r="34" spans="1:12">
      <c r="A34" s="157"/>
      <c r="B34" s="241" t="s">
        <v>2186</v>
      </c>
      <c r="C34" s="320"/>
      <c r="D34" s="324">
        <v>0</v>
      </c>
      <c r="E34" s="321"/>
      <c r="F34" s="324">
        <v>0</v>
      </c>
      <c r="G34" s="207"/>
      <c r="J34" s="477"/>
    </row>
    <row r="35" spans="1:12">
      <c r="A35" s="157"/>
      <c r="B35" s="241" t="s">
        <v>2187</v>
      </c>
      <c r="C35" s="320"/>
      <c r="D35" s="324">
        <v>0</v>
      </c>
      <c r="E35" s="321"/>
      <c r="F35" s="324">
        <v>0</v>
      </c>
      <c r="G35" s="207"/>
      <c r="J35" s="477"/>
    </row>
    <row r="36" spans="1:12">
      <c r="A36" s="157"/>
      <c r="B36" s="241" t="s">
        <v>2188</v>
      </c>
      <c r="C36" s="320"/>
      <c r="D36" s="324"/>
      <c r="E36" s="321"/>
      <c r="F36" s="324">
        <v>0</v>
      </c>
      <c r="G36" s="207"/>
      <c r="I36" s="31" t="s">
        <v>55</v>
      </c>
      <c r="J36" s="477" t="s">
        <v>55</v>
      </c>
    </row>
    <row r="37" spans="1:12">
      <c r="A37" s="157"/>
      <c r="B37" s="1004" t="s">
        <v>579</v>
      </c>
      <c r="C37" s="320"/>
      <c r="D37" s="324">
        <f>-2231750+87947.05</f>
        <v>-2143802.9500000002</v>
      </c>
      <c r="E37" s="321"/>
      <c r="F37" s="324">
        <v>-5246</v>
      </c>
      <c r="G37" s="207"/>
      <c r="I37" s="1032" t="s">
        <v>55</v>
      </c>
      <c r="J37" s="477"/>
    </row>
    <row r="38" spans="1:12">
      <c r="A38" s="157"/>
      <c r="B38" s="851" t="s">
        <v>583</v>
      </c>
      <c r="C38" s="320"/>
      <c r="D38" s="324"/>
      <c r="E38" s="321"/>
      <c r="F38" s="324"/>
      <c r="G38" s="207"/>
      <c r="J38" s="477"/>
    </row>
    <row r="39" spans="1:12">
      <c r="A39" s="157"/>
      <c r="B39" s="241" t="s">
        <v>182</v>
      </c>
      <c r="C39" s="320"/>
      <c r="D39" s="324">
        <v>0</v>
      </c>
      <c r="E39" s="321"/>
      <c r="F39" s="324">
        <v>0</v>
      </c>
      <c r="G39" s="207"/>
      <c r="J39" s="477"/>
    </row>
    <row r="40" spans="1:12">
      <c r="A40" s="157"/>
      <c r="B40" s="203"/>
      <c r="C40" s="320"/>
      <c r="D40" s="324"/>
      <c r="E40" s="321"/>
      <c r="F40" s="324"/>
      <c r="G40" s="207"/>
      <c r="J40" s="477"/>
    </row>
    <row r="41" spans="1:12" ht="13.5" thickBot="1">
      <c r="A41" s="157"/>
      <c r="B41" s="322" t="s">
        <v>683</v>
      </c>
      <c r="C41" s="312"/>
      <c r="D41" s="323">
        <f>SUM(D32:D39)</f>
        <v>-7539.9699999997392</v>
      </c>
      <c r="E41" s="211"/>
      <c r="F41" s="323">
        <f>SUM(F32:F39)</f>
        <v>-2735577</v>
      </c>
      <c r="G41" s="208"/>
    </row>
    <row r="42" spans="1:12" ht="13.5" thickTop="1">
      <c r="A42" s="157"/>
      <c r="B42" s="322"/>
      <c r="C42" s="312"/>
      <c r="D42" s="210"/>
      <c r="E42" s="211"/>
      <c r="F42" s="210"/>
      <c r="G42" s="208"/>
    </row>
    <row r="43" spans="1:12">
      <c r="A43" s="157"/>
      <c r="B43" s="322"/>
      <c r="C43" s="312"/>
      <c r="D43" s="210"/>
      <c r="E43" s="211"/>
      <c r="F43" s="210"/>
      <c r="G43" s="208"/>
    </row>
    <row r="44" spans="1:12">
      <c r="A44" s="157"/>
      <c r="B44" s="203"/>
      <c r="C44" s="320"/>
      <c r="D44" s="324"/>
      <c r="E44" s="321"/>
      <c r="F44" s="321"/>
      <c r="G44" s="207"/>
    </row>
    <row r="45" spans="1:12">
      <c r="A45" s="157"/>
      <c r="B45" s="213" t="s">
        <v>684</v>
      </c>
      <c r="C45" s="320"/>
      <c r="D45" s="211">
        <f>+D41+D27+D19</f>
        <v>1852201.6099999836</v>
      </c>
      <c r="E45" s="211"/>
      <c r="F45" s="211">
        <f>+F41+F27+F19</f>
        <v>1999940</v>
      </c>
      <c r="G45" s="208"/>
    </row>
    <row r="46" spans="1:12">
      <c r="A46" s="196"/>
      <c r="B46" s="203"/>
      <c r="C46" s="320"/>
      <c r="D46" s="324"/>
      <c r="E46" s="321"/>
      <c r="F46" s="321"/>
      <c r="G46" s="207"/>
    </row>
    <row r="47" spans="1:12">
      <c r="A47" s="196"/>
      <c r="B47" s="203" t="s">
        <v>685</v>
      </c>
      <c r="C47" s="320"/>
      <c r="D47" s="1143">
        <f>+'Statement of Financial Position'!E42</f>
        <v>2243645.7800000003</v>
      </c>
      <c r="E47" s="211"/>
      <c r="F47" s="1142">
        <v>243706</v>
      </c>
      <c r="G47" s="207"/>
      <c r="I47" s="477"/>
    </row>
    <row r="48" spans="1:12" ht="13.5" thickBot="1">
      <c r="A48" s="196"/>
      <c r="B48" s="203" t="s">
        <v>686</v>
      </c>
      <c r="C48" s="320"/>
      <c r="D48" s="1141">
        <f>+'Statement of Financial Position'!C42</f>
        <v>4095847.4699999997</v>
      </c>
      <c r="E48" s="211"/>
      <c r="F48" s="1140">
        <v>2243646</v>
      </c>
      <c r="G48" s="207"/>
      <c r="I48" s="705"/>
      <c r="J48" s="705"/>
      <c r="K48" s="705"/>
      <c r="L48" s="705"/>
    </row>
    <row r="49" spans="1:17" ht="13.5" thickTop="1">
      <c r="A49" s="379"/>
      <c r="B49" s="1005"/>
      <c r="C49" s="325"/>
      <c r="D49" s="326"/>
      <c r="E49" s="326"/>
      <c r="F49" s="1033"/>
      <c r="G49" s="209"/>
      <c r="I49" s="705"/>
      <c r="J49" s="705"/>
      <c r="K49" s="705"/>
      <c r="L49" s="705"/>
    </row>
    <row r="50" spans="1:17">
      <c r="I50" s="705"/>
      <c r="J50" s="705"/>
      <c r="K50" s="705"/>
      <c r="L50" s="705"/>
    </row>
    <row r="51" spans="1:17">
      <c r="D51" s="31">
        <f>+D47-D48</f>
        <v>-1852201.6899999995</v>
      </c>
      <c r="I51" s="705"/>
      <c r="J51" s="705"/>
      <c r="K51" s="705"/>
      <c r="L51" s="705"/>
    </row>
    <row r="52" spans="1:17">
      <c r="I52" s="705"/>
      <c r="J52" s="705"/>
      <c r="K52" s="705"/>
      <c r="L52" s="705"/>
    </row>
    <row r="53" spans="1:17">
      <c r="I53" s="1032" t="s">
        <v>55</v>
      </c>
      <c r="J53" s="705"/>
      <c r="K53" s="705"/>
      <c r="L53" s="705"/>
    </row>
    <row r="54" spans="1:17">
      <c r="B54" s="306"/>
      <c r="D54" s="363"/>
      <c r="F54" s="363"/>
      <c r="I54" s="705"/>
      <c r="J54" s="705"/>
      <c r="K54" s="705"/>
      <c r="L54" s="705"/>
    </row>
    <row r="55" spans="1:17">
      <c r="E55" s="364"/>
      <c r="F55" s="364"/>
      <c r="I55" s="705"/>
      <c r="J55" s="705"/>
      <c r="K55" s="705"/>
      <c r="L55" s="705"/>
    </row>
    <row r="56" spans="1:17">
      <c r="B56" s="306"/>
      <c r="D56" s="477"/>
      <c r="I56" s="705"/>
      <c r="J56" s="705"/>
      <c r="K56" s="705"/>
      <c r="L56" s="705"/>
    </row>
    <row r="57" spans="1:17">
      <c r="F57" s="1032"/>
      <c r="I57" s="705"/>
      <c r="J57" s="705"/>
      <c r="K57" s="705"/>
      <c r="L57" s="705"/>
    </row>
    <row r="58" spans="1:17" s="618" customFormat="1">
      <c r="A58" s="622"/>
      <c r="C58" s="619"/>
      <c r="D58" s="620"/>
      <c r="E58" s="620"/>
      <c r="F58" s="620"/>
      <c r="I58" s="620"/>
      <c r="J58" s="620"/>
      <c r="K58" s="620"/>
      <c r="L58" s="620"/>
      <c r="M58" s="620"/>
      <c r="N58" s="620"/>
      <c r="O58" s="999"/>
      <c r="P58" s="999"/>
      <c r="Q58" s="999"/>
    </row>
    <row r="59" spans="1:17" s="618" customFormat="1">
      <c r="A59" s="621"/>
      <c r="C59" s="619"/>
      <c r="D59" s="620"/>
      <c r="E59" s="620"/>
      <c r="F59" s="620"/>
      <c r="I59" s="620"/>
      <c r="J59" s="620"/>
      <c r="K59" s="620"/>
      <c r="L59" s="620"/>
      <c r="M59" s="620"/>
      <c r="N59" s="620"/>
      <c r="O59" s="999"/>
      <c r="P59" s="999"/>
      <c r="Q59" s="999"/>
    </row>
    <row r="60" spans="1:17" s="618" customFormat="1">
      <c r="A60" s="621"/>
      <c r="C60" s="619"/>
      <c r="D60" s="620"/>
      <c r="E60" s="620"/>
      <c r="F60" s="620"/>
      <c r="I60" s="620"/>
      <c r="J60" s="620"/>
      <c r="K60" s="620"/>
      <c r="L60" s="620"/>
      <c r="M60" s="620"/>
      <c r="N60" s="620"/>
      <c r="O60" s="999"/>
      <c r="P60" s="999"/>
      <c r="Q60" s="999"/>
    </row>
    <row r="61" spans="1:17" s="618" customFormat="1">
      <c r="A61" s="621"/>
      <c r="C61" s="619"/>
      <c r="D61" s="620"/>
      <c r="E61" s="620"/>
      <c r="F61" s="620"/>
      <c r="I61" s="620"/>
      <c r="J61" s="620"/>
      <c r="K61" s="620"/>
      <c r="L61" s="620"/>
      <c r="M61" s="620"/>
      <c r="N61" s="620"/>
      <c r="O61" s="999"/>
      <c r="P61" s="999"/>
      <c r="Q61" s="999"/>
    </row>
    <row r="62" spans="1:17" s="618" customFormat="1">
      <c r="A62" s="621"/>
      <c r="C62" s="619"/>
      <c r="D62" s="620"/>
      <c r="E62" s="620"/>
      <c r="F62" s="620"/>
      <c r="I62" s="620"/>
      <c r="J62" s="620"/>
      <c r="K62" s="620"/>
      <c r="L62" s="620"/>
      <c r="M62" s="620"/>
      <c r="N62" s="620"/>
      <c r="O62" s="999"/>
      <c r="P62" s="999"/>
      <c r="Q62" s="999"/>
    </row>
    <row r="63" spans="1:17" s="618" customFormat="1">
      <c r="A63" s="621"/>
      <c r="C63" s="619"/>
      <c r="D63" s="620"/>
      <c r="E63" s="620"/>
      <c r="F63" s="620"/>
      <c r="I63" s="620"/>
      <c r="J63" s="620"/>
      <c r="K63" s="620"/>
      <c r="L63" s="620"/>
      <c r="M63" s="620"/>
      <c r="N63" s="620"/>
      <c r="O63" s="999"/>
      <c r="P63" s="999"/>
      <c r="Q63" s="999"/>
    </row>
    <row r="64" spans="1:17" s="618" customFormat="1">
      <c r="C64" s="619"/>
      <c r="D64" s="620"/>
      <c r="E64" s="620"/>
      <c r="F64" s="620"/>
      <c r="I64" s="620"/>
      <c r="J64" s="620"/>
      <c r="K64" s="620"/>
      <c r="L64" s="620"/>
      <c r="M64" s="620"/>
      <c r="N64" s="620"/>
      <c r="O64" s="999"/>
      <c r="P64" s="999"/>
      <c r="Q64" s="999"/>
    </row>
    <row r="65" spans="2:18" s="618" customFormat="1">
      <c r="C65" s="619"/>
      <c r="D65" s="620"/>
      <c r="E65" s="620"/>
      <c r="F65" s="620"/>
      <c r="I65" s="620"/>
      <c r="J65" s="620"/>
      <c r="K65" s="620"/>
      <c r="L65" s="620"/>
      <c r="M65" s="620"/>
      <c r="N65" s="620"/>
      <c r="O65" s="999"/>
      <c r="P65" s="999"/>
      <c r="Q65" s="999"/>
    </row>
    <row r="66" spans="2:18" s="618" customFormat="1">
      <c r="C66" s="619"/>
      <c r="D66" s="620"/>
      <c r="E66" s="620"/>
      <c r="F66" s="620"/>
      <c r="I66" s="620"/>
      <c r="J66" s="620"/>
      <c r="K66" s="620"/>
      <c r="L66" s="620"/>
      <c r="M66" s="620"/>
      <c r="N66" s="620"/>
      <c r="O66" s="999"/>
      <c r="P66" s="999"/>
      <c r="Q66" s="999"/>
    </row>
    <row r="67" spans="2:18" s="618" customFormat="1">
      <c r="B67" s="695"/>
      <c r="C67" s="696"/>
      <c r="D67" s="707"/>
      <c r="E67" s="708"/>
      <c r="F67" s="709"/>
      <c r="G67" s="710"/>
      <c r="H67" s="710"/>
      <c r="I67" s="620"/>
      <c r="J67" s="620"/>
      <c r="K67" s="620"/>
      <c r="L67" s="620"/>
      <c r="M67" s="620"/>
      <c r="N67" s="620"/>
      <c r="O67" s="999"/>
      <c r="P67" s="999"/>
      <c r="Q67" s="999"/>
    </row>
    <row r="68" spans="2:18" s="618" customFormat="1">
      <c r="B68" s="695"/>
      <c r="C68" s="696"/>
      <c r="D68" s="697"/>
      <c r="E68" s="620"/>
      <c r="F68" s="705"/>
      <c r="G68" s="711"/>
      <c r="H68" s="711"/>
      <c r="I68" s="705"/>
      <c r="J68" s="705"/>
      <c r="K68" s="705"/>
      <c r="L68" s="705"/>
      <c r="M68" s="705"/>
      <c r="N68" s="620"/>
      <c r="O68" s="999"/>
      <c r="P68" s="999"/>
      <c r="Q68" s="999"/>
    </row>
    <row r="69" spans="2:18" s="618" customFormat="1">
      <c r="B69" s="695"/>
      <c r="C69" s="696"/>
      <c r="D69" s="697"/>
      <c r="E69" s="620"/>
      <c r="F69" s="705"/>
      <c r="G69" s="711"/>
      <c r="H69" s="711"/>
      <c r="I69" s="705"/>
      <c r="J69" s="705"/>
      <c r="K69" s="705"/>
      <c r="L69" s="705"/>
      <c r="M69" s="705"/>
      <c r="N69" s="705"/>
      <c r="O69" s="999"/>
      <c r="P69" s="999"/>
      <c r="Q69" s="999"/>
      <c r="R69" s="617"/>
    </row>
    <row r="70" spans="2:18" s="618" customFormat="1">
      <c r="B70" s="695"/>
      <c r="C70" s="696"/>
      <c r="D70" s="697"/>
      <c r="E70" s="620"/>
      <c r="F70" s="705"/>
      <c r="G70" s="711"/>
      <c r="H70" s="711"/>
      <c r="I70" s="705"/>
      <c r="J70" s="705"/>
      <c r="K70" s="705"/>
      <c r="L70" s="705"/>
      <c r="M70" s="705"/>
      <c r="N70" s="705"/>
      <c r="O70" s="999"/>
      <c r="P70" s="999"/>
      <c r="Q70" s="999"/>
      <c r="R70" s="617"/>
    </row>
    <row r="71" spans="2:18" s="618" customFormat="1">
      <c r="B71" s="695"/>
      <c r="C71" s="696"/>
      <c r="D71" s="697"/>
      <c r="E71" s="620"/>
      <c r="F71" s="705"/>
      <c r="G71" s="711"/>
      <c r="H71" s="711"/>
      <c r="I71" s="705"/>
      <c r="J71" s="705"/>
      <c r="K71" s="705"/>
      <c r="L71" s="705"/>
      <c r="M71" s="705"/>
      <c r="N71" s="705"/>
      <c r="O71" s="999"/>
      <c r="P71" s="999"/>
      <c r="Q71" s="999"/>
      <c r="R71" s="617"/>
    </row>
    <row r="72" spans="2:18" s="618" customFormat="1">
      <c r="B72" s="695"/>
      <c r="C72" s="696"/>
      <c r="D72" s="697"/>
      <c r="E72" s="620"/>
      <c r="F72" s="705"/>
      <c r="G72" s="711"/>
      <c r="H72" s="711"/>
      <c r="I72" s="705"/>
      <c r="J72" s="705"/>
      <c r="K72" s="705"/>
      <c r="L72" s="705"/>
      <c r="M72" s="705"/>
      <c r="N72" s="620"/>
      <c r="O72" s="999"/>
      <c r="P72" s="999"/>
      <c r="Q72" s="999"/>
    </row>
    <row r="73" spans="2:18" s="618" customFormat="1">
      <c r="B73" s="695"/>
      <c r="C73" s="696"/>
      <c r="D73" s="697"/>
      <c r="E73" s="620"/>
      <c r="F73" s="705"/>
      <c r="G73" s="711"/>
      <c r="H73" s="711"/>
      <c r="I73" s="705"/>
      <c r="J73" s="705"/>
      <c r="K73" s="705"/>
      <c r="L73" s="620"/>
      <c r="M73" s="705"/>
      <c r="N73" s="620"/>
      <c r="O73" s="999"/>
      <c r="P73" s="999"/>
      <c r="Q73" s="999"/>
    </row>
    <row r="74" spans="2:18" s="618" customFormat="1">
      <c r="B74" s="695"/>
      <c r="C74" s="696"/>
      <c r="D74" s="697"/>
      <c r="E74" s="620"/>
      <c r="F74" s="705"/>
      <c r="G74" s="711"/>
      <c r="H74" s="711"/>
      <c r="I74" s="705"/>
      <c r="J74" s="705"/>
      <c r="K74" s="705"/>
      <c r="L74" s="705"/>
      <c r="M74" s="705"/>
      <c r="N74" s="620"/>
      <c r="O74" s="999"/>
      <c r="P74" s="999"/>
      <c r="Q74" s="999"/>
    </row>
    <row r="75" spans="2:18" s="618" customFormat="1" ht="13.5" thickBot="1">
      <c r="B75" s="695"/>
      <c r="C75" s="696"/>
      <c r="D75" s="698"/>
      <c r="E75" s="620"/>
      <c r="F75" s="698"/>
      <c r="G75" s="711"/>
      <c r="H75" s="711"/>
      <c r="I75" s="706"/>
      <c r="J75" s="706"/>
      <c r="K75" s="705"/>
      <c r="L75" s="705"/>
      <c r="M75" s="705"/>
      <c r="N75" s="620"/>
      <c r="O75" s="999"/>
      <c r="P75" s="999"/>
      <c r="Q75" s="999"/>
    </row>
    <row r="76" spans="2:18" s="618" customFormat="1" ht="13.5" thickTop="1">
      <c r="B76" s="695"/>
      <c r="C76" s="696"/>
      <c r="D76" s="697"/>
      <c r="E76" s="620"/>
      <c r="F76" s="705"/>
      <c r="G76" s="711"/>
      <c r="H76" s="711"/>
      <c r="I76" s="705"/>
      <c r="J76" s="705"/>
      <c r="K76" s="705"/>
      <c r="L76" s="705"/>
      <c r="M76" s="705"/>
      <c r="N76" s="620"/>
      <c r="O76" s="999"/>
      <c r="P76" s="999"/>
      <c r="Q76" s="999"/>
    </row>
    <row r="77" spans="2:18" s="618" customFormat="1">
      <c r="B77" s="695"/>
      <c r="C77" s="696"/>
      <c r="D77" s="697"/>
      <c r="E77" s="620"/>
      <c r="F77" s="705"/>
      <c r="G77" s="711"/>
      <c r="H77" s="711"/>
      <c r="I77" s="705"/>
      <c r="J77" s="705"/>
      <c r="K77" s="705"/>
      <c r="L77" s="705"/>
      <c r="M77" s="705"/>
      <c r="N77" s="620"/>
      <c r="O77" s="999"/>
      <c r="P77" s="999"/>
      <c r="Q77" s="999"/>
    </row>
    <row r="78" spans="2:18" s="618" customFormat="1">
      <c r="B78" s="695"/>
      <c r="C78" s="696"/>
      <c r="D78" s="697"/>
      <c r="E78" s="620"/>
      <c r="F78" s="705"/>
      <c r="G78" s="711"/>
      <c r="H78" s="711"/>
      <c r="I78" s="705"/>
      <c r="J78" s="705"/>
      <c r="K78" s="705"/>
      <c r="L78" s="705"/>
      <c r="M78" s="705"/>
      <c r="N78" s="620"/>
      <c r="O78" s="999"/>
      <c r="P78" s="999"/>
      <c r="Q78" s="999"/>
    </row>
    <row r="79" spans="2:18" s="618" customFormat="1">
      <c r="B79" s="695"/>
      <c r="C79" s="696"/>
      <c r="D79" s="697"/>
      <c r="E79" s="620"/>
      <c r="F79" s="705"/>
      <c r="G79" s="711"/>
      <c r="H79" s="711"/>
      <c r="I79" s="705"/>
      <c r="J79" s="705"/>
      <c r="K79" s="705"/>
      <c r="L79" s="705"/>
      <c r="M79" s="705"/>
      <c r="N79" s="620"/>
      <c r="O79" s="999"/>
      <c r="P79" s="999"/>
      <c r="Q79" s="999"/>
    </row>
    <row r="80" spans="2:18" s="618" customFormat="1">
      <c r="B80" s="695"/>
      <c r="C80" s="696"/>
      <c r="D80" s="697"/>
      <c r="E80" s="620"/>
      <c r="F80" s="705"/>
      <c r="G80" s="711"/>
      <c r="H80" s="711"/>
      <c r="I80" s="705"/>
      <c r="J80" s="705"/>
      <c r="K80" s="705"/>
      <c r="L80" s="705"/>
      <c r="M80" s="705"/>
      <c r="N80" s="620"/>
      <c r="O80" s="999"/>
      <c r="P80" s="999"/>
      <c r="Q80" s="999"/>
    </row>
    <row r="81" spans="2:13">
      <c r="B81" s="695"/>
      <c r="C81" s="696"/>
      <c r="D81" s="697"/>
      <c r="F81" s="705"/>
      <c r="G81" s="711"/>
      <c r="H81" s="711"/>
      <c r="I81" s="705"/>
      <c r="J81" s="705"/>
      <c r="K81" s="705"/>
      <c r="L81" s="705"/>
      <c r="M81" s="705"/>
    </row>
    <row r="82" spans="2:13">
      <c r="B82" s="695"/>
      <c r="C82" s="696"/>
      <c r="D82" s="697"/>
      <c r="F82" s="705"/>
      <c r="G82" s="711"/>
      <c r="H82" s="711"/>
      <c r="I82" s="705"/>
      <c r="J82" s="705"/>
      <c r="K82" s="705"/>
      <c r="L82" s="705"/>
      <c r="M82" s="705"/>
    </row>
    <row r="83" spans="2:13">
      <c r="B83" s="695"/>
      <c r="C83" s="696"/>
      <c r="D83" s="697"/>
      <c r="F83" s="705"/>
      <c r="G83" s="711"/>
      <c r="H83" s="711"/>
      <c r="I83" s="705"/>
      <c r="J83" s="705"/>
      <c r="K83" s="705"/>
      <c r="L83" s="705"/>
      <c r="M83" s="705"/>
    </row>
    <row r="84" spans="2:13">
      <c r="B84" s="695"/>
      <c r="C84" s="696"/>
      <c r="D84" s="697"/>
      <c r="F84" s="705"/>
      <c r="G84" s="711"/>
      <c r="H84" s="711"/>
      <c r="I84" s="705"/>
      <c r="J84" s="705"/>
      <c r="K84" s="705"/>
      <c r="L84" s="705"/>
      <c r="M84" s="705"/>
    </row>
    <row r="85" spans="2:13">
      <c r="B85" s="695"/>
      <c r="C85" s="696"/>
      <c r="D85" s="697"/>
      <c r="F85" s="705"/>
      <c r="G85" s="711"/>
      <c r="H85" s="711"/>
      <c r="I85" s="705"/>
      <c r="J85" s="705"/>
      <c r="K85" s="705"/>
      <c r="L85" s="705"/>
      <c r="M85" s="705"/>
    </row>
    <row r="86" spans="2:13">
      <c r="B86" s="695"/>
      <c r="C86" s="696"/>
      <c r="D86" s="697"/>
      <c r="F86" s="705"/>
      <c r="G86" s="711"/>
      <c r="H86" s="711"/>
      <c r="I86" s="705"/>
      <c r="J86" s="705"/>
      <c r="K86" s="705"/>
      <c r="L86" s="705"/>
      <c r="M86" s="705"/>
    </row>
    <row r="87" spans="2:13">
      <c r="B87" s="695"/>
      <c r="C87" s="696"/>
      <c r="D87" s="697"/>
      <c r="F87" s="705"/>
      <c r="G87" s="711"/>
      <c r="H87" s="711"/>
      <c r="I87" s="705"/>
      <c r="J87" s="705"/>
      <c r="K87" s="705"/>
      <c r="L87" s="705"/>
      <c r="M87" s="705"/>
    </row>
    <row r="88" spans="2:13">
      <c r="B88" s="695"/>
      <c r="C88" s="696"/>
      <c r="D88" s="697"/>
      <c r="F88" s="705"/>
      <c r="G88" s="711"/>
      <c r="H88" s="711"/>
      <c r="I88" s="705"/>
      <c r="J88" s="705"/>
      <c r="K88" s="705"/>
      <c r="L88" s="705"/>
      <c r="M88" s="705"/>
    </row>
    <row r="89" spans="2:13">
      <c r="B89" s="695"/>
      <c r="C89" s="696"/>
      <c r="D89" s="697"/>
      <c r="F89" s="705"/>
      <c r="G89" s="711"/>
      <c r="H89" s="711"/>
      <c r="I89" s="705"/>
      <c r="J89" s="705"/>
      <c r="M89" s="705"/>
    </row>
    <row r="90" spans="2:13" ht="13.5" thickBot="1">
      <c r="B90" s="695"/>
      <c r="C90" s="696"/>
      <c r="D90" s="698"/>
      <c r="F90" s="698"/>
      <c r="G90" s="711"/>
      <c r="H90" s="711"/>
      <c r="I90" s="705"/>
      <c r="J90" s="705"/>
    </row>
    <row r="91" spans="2:13" ht="13.5" thickTop="1">
      <c r="B91" s="695"/>
      <c r="C91" s="696"/>
      <c r="D91" s="697"/>
      <c r="F91" s="705"/>
      <c r="G91" s="711"/>
      <c r="H91" s="711"/>
      <c r="I91" s="705"/>
      <c r="J91" s="705"/>
    </row>
    <row r="92" spans="2:13">
      <c r="B92" s="695"/>
      <c r="C92" s="696"/>
      <c r="D92" s="697"/>
      <c r="F92" s="697"/>
      <c r="G92" s="711"/>
      <c r="H92" s="711"/>
      <c r="I92" s="705"/>
      <c r="J92" s="705"/>
    </row>
    <row r="93" spans="2:13">
      <c r="B93" s="699"/>
      <c r="C93" s="700"/>
      <c r="D93" s="701"/>
      <c r="F93" s="701"/>
      <c r="G93" s="711"/>
      <c r="H93" s="711"/>
      <c r="I93" s="705"/>
    </row>
    <row r="94" spans="2:13">
      <c r="B94" s="699"/>
      <c r="C94" s="700"/>
      <c r="D94" s="701"/>
      <c r="F94" s="705"/>
      <c r="G94" s="694"/>
      <c r="H94" s="694"/>
      <c r="I94" s="705"/>
    </row>
    <row r="95" spans="2:13">
      <c r="B95" s="699"/>
      <c r="C95" s="700"/>
      <c r="D95" s="701"/>
      <c r="F95" s="705"/>
      <c r="G95" s="694"/>
      <c r="H95" s="694"/>
      <c r="I95" s="705"/>
    </row>
    <row r="96" spans="2:13">
      <c r="B96" s="699"/>
      <c r="C96" s="700"/>
      <c r="D96" s="701"/>
      <c r="F96" s="705"/>
      <c r="G96" s="694"/>
      <c r="H96" s="694"/>
      <c r="I96" s="705"/>
    </row>
    <row r="97" spans="2:9">
      <c r="B97" s="699"/>
      <c r="C97" s="700"/>
      <c r="D97" s="701"/>
      <c r="F97" s="705"/>
      <c r="G97" s="694"/>
      <c r="H97" s="694"/>
      <c r="I97" s="705"/>
    </row>
    <row r="98" spans="2:9">
      <c r="B98" s="699"/>
      <c r="C98" s="700"/>
      <c r="D98" s="701"/>
      <c r="F98" s="705"/>
      <c r="G98" s="694"/>
      <c r="H98" s="694"/>
      <c r="I98" s="705"/>
    </row>
    <row r="99" spans="2:9">
      <c r="B99" s="699"/>
      <c r="C99" s="700"/>
      <c r="D99" s="702"/>
      <c r="F99" s="705"/>
      <c r="G99" s="694"/>
      <c r="H99" s="694"/>
      <c r="I99" s="705"/>
    </row>
    <row r="100" spans="2:9">
      <c r="B100" s="699"/>
      <c r="C100" s="700"/>
      <c r="D100" s="703"/>
      <c r="F100" s="705"/>
      <c r="G100" s="694"/>
      <c r="H100" s="694"/>
      <c r="I100" s="705"/>
    </row>
    <row r="101" spans="2:9">
      <c r="B101" s="699"/>
      <c r="C101" s="700"/>
      <c r="D101" s="704"/>
      <c r="F101" s="705"/>
      <c r="G101" s="694"/>
      <c r="H101" s="694"/>
      <c r="I101" s="705"/>
    </row>
    <row r="102" spans="2:9">
      <c r="B102" s="699"/>
      <c r="C102" s="700"/>
      <c r="D102" s="701"/>
      <c r="F102" s="705"/>
      <c r="G102" s="694"/>
      <c r="H102" s="694"/>
      <c r="I102" s="705"/>
    </row>
    <row r="103" spans="2:9">
      <c r="B103" s="699"/>
      <c r="C103" s="700"/>
      <c r="D103" s="701"/>
      <c r="F103" s="705"/>
      <c r="G103" s="694"/>
      <c r="H103" s="694"/>
      <c r="I103" s="705"/>
    </row>
    <row r="104" spans="2:9">
      <c r="B104" s="699"/>
      <c r="C104" s="700"/>
      <c r="D104" s="702"/>
      <c r="F104" s="705"/>
      <c r="G104" s="694"/>
      <c r="H104" s="694"/>
      <c r="I104" s="705"/>
    </row>
    <row r="105" spans="2:9">
      <c r="B105" s="699"/>
      <c r="C105" s="700"/>
      <c r="D105" s="704"/>
      <c r="F105" s="705"/>
      <c r="G105" s="694"/>
      <c r="H105" s="694"/>
      <c r="I105" s="705"/>
    </row>
    <row r="106" spans="2:9">
      <c r="B106" s="699"/>
      <c r="C106" s="700"/>
      <c r="D106" s="701"/>
      <c r="F106" s="705"/>
      <c r="G106" s="694"/>
      <c r="H106" s="694"/>
      <c r="I106" s="705"/>
    </row>
    <row r="107" spans="2:9">
      <c r="B107" s="699"/>
      <c r="C107" s="700"/>
      <c r="D107" s="701"/>
      <c r="F107" s="705"/>
      <c r="G107" s="694"/>
      <c r="H107" s="694"/>
      <c r="I107" s="705"/>
    </row>
    <row r="108" spans="2:9">
      <c r="B108" s="699"/>
      <c r="C108" s="700"/>
      <c r="D108" s="701"/>
      <c r="F108" s="705"/>
      <c r="G108" s="694"/>
      <c r="H108" s="694"/>
      <c r="I108" s="705"/>
    </row>
    <row r="109" spans="2:9">
      <c r="B109" s="699"/>
      <c r="C109" s="700"/>
      <c r="D109" s="701"/>
      <c r="F109" s="705"/>
      <c r="G109" s="694"/>
      <c r="H109" s="694"/>
      <c r="I109" s="705"/>
    </row>
    <row r="114" spans="11:12">
      <c r="K114" s="705"/>
      <c r="L114" s="705"/>
    </row>
  </sheetData>
  <mergeCells count="3">
    <mergeCell ref="B2:F2"/>
    <mergeCell ref="B3:F3"/>
    <mergeCell ref="B4:F4"/>
  </mergeCells>
  <phoneticPr fontId="0" type="noConversion"/>
  <printOptions horizontalCentered="1"/>
  <pageMargins left="0.6692913385826772" right="0.39370078740157483" top="0.98425196850393704" bottom="0.98425196850393704" header="0.51181102362204722" footer="0.51181102362204722"/>
  <pageSetup scale="89" orientation="portrait" r:id="rId1"/>
  <headerFooter alignWithMargins="0">
    <oddHeader>&amp;C FINANCIAL STATEMENTS: MUSINA LOCAL MUNICIPALITY</oddHeader>
    <oddFooter>&amp;RPage &amp;P</oddFooter>
  </headerFooter>
</worksheet>
</file>

<file path=xl/worksheets/sheet9.xml><?xml version="1.0" encoding="utf-8"?>
<worksheet xmlns="http://schemas.openxmlformats.org/spreadsheetml/2006/main" xmlns:r="http://schemas.openxmlformats.org/officeDocument/2006/relationships">
  <dimension ref="A1:L541"/>
  <sheetViews>
    <sheetView view="pageBreakPreview" topLeftCell="B478" zoomScaleSheetLayoutView="100" workbookViewId="0">
      <selection activeCell="A14" sqref="A14"/>
    </sheetView>
  </sheetViews>
  <sheetFormatPr defaultRowHeight="12.75"/>
  <cols>
    <col min="1" max="1" width="6.7109375" style="477" customWidth="1"/>
    <col min="2" max="2" width="8.42578125" style="469" bestFit="1" customWidth="1"/>
    <col min="3" max="3" width="75.140625" style="229" customWidth="1"/>
    <col min="4" max="4" width="15.85546875" style="199" customWidth="1"/>
    <col min="5" max="16384" width="9.140625" style="199"/>
  </cols>
  <sheetData>
    <row r="1" spans="1:4">
      <c r="B1" s="1332" t="s">
        <v>3477</v>
      </c>
      <c r="C1" s="1332"/>
      <c r="D1" s="1332"/>
    </row>
    <row r="2" spans="1:4">
      <c r="B2" s="1333" t="s">
        <v>3100</v>
      </c>
      <c r="C2" s="1333"/>
      <c r="D2" s="1333"/>
    </row>
    <row r="3" spans="1:4">
      <c r="B3" s="529"/>
      <c r="C3" s="530"/>
      <c r="D3" s="203"/>
    </row>
    <row r="4" spans="1:4" s="228" customFormat="1" ht="15.75">
      <c r="A4" s="231">
        <v>1</v>
      </c>
      <c r="B4" s="1331" t="s">
        <v>3454</v>
      </c>
      <c r="C4" s="1331"/>
      <c r="D4" s="232"/>
    </row>
    <row r="5" spans="1:4" s="22" customFormat="1">
      <c r="A5" s="470"/>
      <c r="B5" s="462"/>
      <c r="C5" s="200"/>
      <c r="D5" s="144"/>
    </row>
    <row r="6" spans="1:4" s="198" customFormat="1">
      <c r="A6" s="471"/>
      <c r="B6" s="463">
        <v>1.01</v>
      </c>
      <c r="C6" s="233" t="s">
        <v>2880</v>
      </c>
      <c r="D6" s="208"/>
    </row>
    <row r="7" spans="1:4" s="225" customFormat="1" ht="51">
      <c r="A7" s="472"/>
      <c r="B7" s="464"/>
      <c r="C7" s="404" t="s">
        <v>2392</v>
      </c>
      <c r="D7" s="235"/>
    </row>
    <row r="8" spans="1:4" s="22" customFormat="1">
      <c r="A8" s="470"/>
      <c r="B8" s="462"/>
      <c r="C8" s="200"/>
      <c r="D8" s="144"/>
    </row>
    <row r="9" spans="1:4" s="198" customFormat="1">
      <c r="A9" s="471"/>
      <c r="B9" s="463">
        <v>1.02</v>
      </c>
      <c r="C9" s="233" t="s">
        <v>2881</v>
      </c>
      <c r="D9" s="208"/>
    </row>
    <row r="10" spans="1:4" s="225" customFormat="1" ht="51">
      <c r="A10" s="472"/>
      <c r="B10" s="464"/>
      <c r="C10" s="234" t="s">
        <v>3455</v>
      </c>
      <c r="D10" s="235"/>
    </row>
    <row r="11" spans="1:4" s="22" customFormat="1">
      <c r="A11" s="470"/>
      <c r="B11" s="462"/>
      <c r="C11" s="200"/>
      <c r="D11" s="144"/>
    </row>
    <row r="12" spans="1:4" s="225" customFormat="1" ht="51">
      <c r="A12" s="472"/>
      <c r="B12" s="464"/>
      <c r="C12" s="234" t="s">
        <v>3456</v>
      </c>
      <c r="D12" s="235"/>
    </row>
    <row r="13" spans="1:4" s="22" customFormat="1">
      <c r="A13" s="470"/>
      <c r="B13" s="462"/>
      <c r="C13" s="200"/>
      <c r="D13" s="144"/>
    </row>
    <row r="14" spans="1:4" s="225" customFormat="1">
      <c r="A14" s="472"/>
      <c r="B14" s="464"/>
      <c r="C14" s="32" t="s">
        <v>3457</v>
      </c>
      <c r="D14" s="235"/>
    </row>
    <row r="15" spans="1:4" s="22" customFormat="1">
      <c r="A15" s="470"/>
      <c r="B15" s="462"/>
      <c r="C15" s="236"/>
      <c r="D15" s="144"/>
    </row>
    <row r="16" spans="1:4" s="22" customFormat="1">
      <c r="A16" s="470"/>
      <c r="B16" s="462"/>
      <c r="C16" s="236" t="s">
        <v>2882</v>
      </c>
      <c r="D16" s="144"/>
    </row>
    <row r="17" spans="1:4" s="22" customFormat="1">
      <c r="A17" s="470"/>
      <c r="B17" s="462"/>
      <c r="C17" s="236" t="s">
        <v>2883</v>
      </c>
      <c r="D17" s="144"/>
    </row>
    <row r="18" spans="1:4" s="22" customFormat="1">
      <c r="A18" s="470"/>
      <c r="B18" s="462"/>
      <c r="C18" s="236" t="s">
        <v>2884</v>
      </c>
      <c r="D18" s="144"/>
    </row>
    <row r="19" spans="1:4" s="22" customFormat="1">
      <c r="A19" s="470"/>
      <c r="B19" s="462"/>
      <c r="C19" s="236" t="s">
        <v>2885</v>
      </c>
      <c r="D19" s="144"/>
    </row>
    <row r="20" spans="1:4" s="22" customFormat="1">
      <c r="A20" s="470"/>
      <c r="B20" s="462"/>
      <c r="C20" s="236" t="s">
        <v>2886</v>
      </c>
      <c r="D20" s="144"/>
    </row>
    <row r="21" spans="1:4" s="22" customFormat="1">
      <c r="A21" s="470"/>
      <c r="B21" s="462"/>
      <c r="C21" s="236" t="s">
        <v>2887</v>
      </c>
      <c r="D21" s="144"/>
    </row>
    <row r="22" spans="1:4" s="22" customFormat="1">
      <c r="A22" s="470"/>
      <c r="B22" s="462"/>
      <c r="C22" s="236" t="s">
        <v>2888</v>
      </c>
      <c r="D22" s="144"/>
    </row>
    <row r="23" spans="1:4" s="22" customFormat="1">
      <c r="A23" s="470"/>
      <c r="B23" s="462"/>
      <c r="C23" s="236" t="s">
        <v>2889</v>
      </c>
      <c r="D23" s="144"/>
    </row>
    <row r="24" spans="1:4" s="22" customFormat="1">
      <c r="A24" s="470"/>
      <c r="B24" s="462"/>
      <c r="C24" s="236" t="s">
        <v>2890</v>
      </c>
      <c r="D24" s="144"/>
    </row>
    <row r="25" spans="1:4" s="22" customFormat="1">
      <c r="A25" s="470"/>
      <c r="B25" s="462"/>
      <c r="C25" s="236" t="s">
        <v>2891</v>
      </c>
      <c r="D25" s="144"/>
    </row>
    <row r="26" spans="1:4" s="22" customFormat="1">
      <c r="A26" s="470"/>
      <c r="B26" s="462"/>
      <c r="C26" s="236" t="s">
        <v>2892</v>
      </c>
      <c r="D26" s="144"/>
    </row>
    <row r="27" spans="1:4" s="22" customFormat="1">
      <c r="A27" s="470"/>
      <c r="B27" s="462"/>
      <c r="C27" s="236"/>
      <c r="D27" s="144"/>
    </row>
    <row r="28" spans="1:4" s="225" customFormat="1" ht="25.5">
      <c r="A28" s="472"/>
      <c r="B28" s="464"/>
      <c r="C28" s="234" t="s">
        <v>715</v>
      </c>
      <c r="D28" s="235"/>
    </row>
    <row r="29" spans="1:4" s="22" customFormat="1">
      <c r="A29" s="470"/>
      <c r="B29" s="462"/>
      <c r="C29" s="236"/>
      <c r="D29" s="144"/>
    </row>
    <row r="30" spans="1:4" s="225" customFormat="1" ht="76.5">
      <c r="A30" s="472"/>
      <c r="B30" s="464"/>
      <c r="C30" s="234" t="s">
        <v>716</v>
      </c>
      <c r="D30" s="235"/>
    </row>
    <row r="31" spans="1:4" s="22" customFormat="1">
      <c r="A31" s="470"/>
      <c r="B31" s="462"/>
      <c r="C31" s="236"/>
      <c r="D31" s="144"/>
    </row>
    <row r="32" spans="1:4" s="225" customFormat="1" ht="76.5">
      <c r="A32" s="472"/>
      <c r="B32" s="464"/>
      <c r="C32" s="234" t="s">
        <v>3261</v>
      </c>
      <c r="D32" s="235"/>
    </row>
    <row r="33" spans="1:4" s="22" customFormat="1">
      <c r="A33" s="470"/>
      <c r="B33" s="462"/>
      <c r="C33" s="236"/>
      <c r="D33" s="144"/>
    </row>
    <row r="34" spans="1:4" s="22" customFormat="1" ht="13.5" customHeight="1">
      <c r="A34" s="470"/>
      <c r="B34" s="462"/>
      <c r="C34" s="200" t="s">
        <v>3262</v>
      </c>
      <c r="D34" s="144"/>
    </row>
    <row r="35" spans="1:4" s="22" customFormat="1">
      <c r="A35" s="470"/>
      <c r="B35" s="462"/>
      <c r="C35" s="236"/>
      <c r="D35" s="144"/>
    </row>
    <row r="36" spans="1:4" s="225" customFormat="1" ht="25.5">
      <c r="A36" s="472"/>
      <c r="B36" s="464"/>
      <c r="C36" s="234" t="s">
        <v>3263</v>
      </c>
      <c r="D36" s="235"/>
    </row>
    <row r="37" spans="1:4" s="22" customFormat="1">
      <c r="A37" s="470"/>
      <c r="B37" s="462"/>
      <c r="C37" s="236"/>
      <c r="D37" s="144"/>
    </row>
    <row r="38" spans="1:4" s="225" customFormat="1" ht="25.5">
      <c r="A38" s="472"/>
      <c r="B38" s="464"/>
      <c r="C38" s="234" t="s">
        <v>3264</v>
      </c>
      <c r="D38" s="235"/>
    </row>
    <row r="39" spans="1:4" s="22" customFormat="1">
      <c r="A39" s="470"/>
      <c r="B39" s="462"/>
      <c r="C39" s="236"/>
      <c r="D39" s="144"/>
    </row>
    <row r="40" spans="1:4" s="226" customFormat="1">
      <c r="A40" s="473"/>
      <c r="B40" s="465">
        <v>1.03</v>
      </c>
      <c r="C40" s="237" t="s">
        <v>2893</v>
      </c>
      <c r="D40" s="238"/>
    </row>
    <row r="41" spans="1:4" s="225" customFormat="1">
      <c r="A41" s="472"/>
      <c r="B41" s="464"/>
      <c r="C41" s="234"/>
      <c r="D41" s="235"/>
    </row>
    <row r="42" spans="1:4" s="225" customFormat="1" ht="25.5">
      <c r="A42" s="472"/>
      <c r="B42" s="464"/>
      <c r="C42" s="234" t="s">
        <v>3005</v>
      </c>
      <c r="D42" s="235"/>
    </row>
    <row r="43" spans="1:4" s="225" customFormat="1">
      <c r="A43" s="472"/>
      <c r="B43" s="464"/>
      <c r="C43" s="234"/>
      <c r="D43" s="235"/>
    </row>
    <row r="44" spans="1:4" s="226" customFormat="1" ht="13.5" customHeight="1">
      <c r="A44" s="473"/>
      <c r="B44" s="465">
        <v>1.04</v>
      </c>
      <c r="C44" s="237" t="s">
        <v>2894</v>
      </c>
      <c r="D44" s="238"/>
    </row>
    <row r="45" spans="1:4" s="225" customFormat="1">
      <c r="A45" s="472"/>
      <c r="B45" s="464"/>
      <c r="C45" s="234"/>
      <c r="D45" s="235"/>
    </row>
    <row r="46" spans="1:4" s="225" customFormat="1">
      <c r="A46" s="472"/>
      <c r="B46" s="464"/>
      <c r="C46" s="234" t="s">
        <v>3006</v>
      </c>
      <c r="D46" s="235"/>
    </row>
    <row r="47" spans="1:4" s="225" customFormat="1">
      <c r="A47" s="472"/>
      <c r="B47" s="464"/>
      <c r="C47" s="234"/>
      <c r="D47" s="235"/>
    </row>
    <row r="48" spans="1:4" s="225" customFormat="1">
      <c r="A48" s="472"/>
      <c r="B48" s="464"/>
      <c r="C48" s="234"/>
      <c r="D48" s="235"/>
    </row>
    <row r="49" spans="1:4" s="226" customFormat="1">
      <c r="A49" s="473"/>
      <c r="B49" s="465">
        <v>1.05</v>
      </c>
      <c r="C49" s="237" t="s">
        <v>690</v>
      </c>
      <c r="D49" s="238"/>
    </row>
    <row r="50" spans="1:4" s="225" customFormat="1">
      <c r="A50" s="472"/>
      <c r="B50" s="464"/>
      <c r="C50" s="234"/>
      <c r="D50" s="235"/>
    </row>
    <row r="51" spans="1:4" s="225" customFormat="1">
      <c r="A51" s="472"/>
      <c r="B51" s="464"/>
      <c r="C51" s="263" t="s">
        <v>2473</v>
      </c>
      <c r="D51" s="235"/>
    </row>
    <row r="52" spans="1:4" s="225" customFormat="1">
      <c r="A52" s="472"/>
      <c r="B52" s="464"/>
      <c r="C52" s="234"/>
      <c r="D52" s="235"/>
    </row>
    <row r="53" spans="1:4" s="225" customFormat="1" ht="51">
      <c r="A53" s="472"/>
      <c r="B53" s="464"/>
      <c r="C53" s="234" t="s">
        <v>1126</v>
      </c>
      <c r="D53" s="235"/>
    </row>
    <row r="54" spans="1:4" s="225" customFormat="1">
      <c r="A54" s="472"/>
      <c r="B54" s="464"/>
      <c r="C54" s="234"/>
      <c r="D54" s="235"/>
    </row>
    <row r="55" spans="1:4" s="225" customFormat="1" ht="51">
      <c r="A55" s="472"/>
      <c r="B55" s="464"/>
      <c r="C55" s="234" t="s">
        <v>1127</v>
      </c>
      <c r="D55" s="235"/>
    </row>
    <row r="56" spans="1:4" s="225" customFormat="1">
      <c r="A56" s="472"/>
      <c r="B56" s="464"/>
      <c r="C56" s="234"/>
      <c r="D56" s="235"/>
    </row>
    <row r="57" spans="1:4" s="225" customFormat="1" ht="38.25">
      <c r="A57" s="472"/>
      <c r="B57" s="464"/>
      <c r="C57" s="234" t="s">
        <v>1128</v>
      </c>
      <c r="D57" s="235"/>
    </row>
    <row r="58" spans="1:4" s="225" customFormat="1">
      <c r="A58" s="472"/>
      <c r="B58" s="464"/>
      <c r="C58" s="234"/>
      <c r="D58" s="235"/>
    </row>
    <row r="59" spans="1:4" s="225" customFormat="1">
      <c r="A59" s="472"/>
      <c r="B59" s="464"/>
      <c r="C59" s="263" t="s">
        <v>2474</v>
      </c>
      <c r="D59" s="235"/>
    </row>
    <row r="60" spans="1:4" s="225" customFormat="1">
      <c r="A60" s="472"/>
      <c r="B60" s="464"/>
      <c r="C60" s="234"/>
      <c r="D60" s="235"/>
    </row>
    <row r="61" spans="1:4" s="225" customFormat="1" ht="63.75">
      <c r="A61" s="472"/>
      <c r="B61" s="464"/>
      <c r="C61" s="234" t="s">
        <v>183</v>
      </c>
      <c r="D61" s="235"/>
    </row>
    <row r="62" spans="1:4" s="225" customFormat="1">
      <c r="A62" s="472"/>
      <c r="B62" s="464"/>
      <c r="C62" s="234"/>
      <c r="D62" s="235"/>
    </row>
    <row r="63" spans="1:4" s="225" customFormat="1" ht="25.5">
      <c r="A63" s="472"/>
      <c r="B63" s="464"/>
      <c r="C63" s="234" t="s">
        <v>184</v>
      </c>
      <c r="D63" s="235"/>
    </row>
    <row r="64" spans="1:4" s="225" customFormat="1">
      <c r="A64" s="472"/>
      <c r="B64" s="464"/>
      <c r="C64" s="234"/>
      <c r="D64" s="235"/>
    </row>
    <row r="65" spans="1:4" s="225" customFormat="1" ht="51">
      <c r="A65" s="472"/>
      <c r="B65" s="464"/>
      <c r="C65" s="234" t="s">
        <v>185</v>
      </c>
      <c r="D65" s="235"/>
    </row>
    <row r="66" spans="1:4" s="225" customFormat="1">
      <c r="A66" s="472"/>
      <c r="B66" s="464"/>
      <c r="C66" s="234"/>
      <c r="D66" s="235"/>
    </row>
    <row r="67" spans="1:4" s="225" customFormat="1" ht="25.5">
      <c r="A67" s="472"/>
      <c r="B67" s="464"/>
      <c r="C67" s="234" t="s">
        <v>1577</v>
      </c>
      <c r="D67" s="235"/>
    </row>
    <row r="68" spans="1:4" s="225" customFormat="1">
      <c r="A68" s="472"/>
      <c r="B68" s="464"/>
      <c r="C68" s="234"/>
      <c r="D68" s="235"/>
    </row>
    <row r="69" spans="1:4" s="225" customFormat="1" ht="38.25">
      <c r="A69" s="472"/>
      <c r="B69" s="464"/>
      <c r="C69" s="234" t="s">
        <v>1578</v>
      </c>
      <c r="D69" s="235"/>
    </row>
    <row r="70" spans="1:4" s="225" customFormat="1">
      <c r="A70" s="472"/>
      <c r="B70" s="464"/>
      <c r="C70" s="234"/>
      <c r="D70" s="235"/>
    </row>
    <row r="71" spans="1:4" s="225" customFormat="1">
      <c r="A71" s="472"/>
      <c r="B71" s="464"/>
      <c r="C71" s="263" t="s">
        <v>2475</v>
      </c>
      <c r="D71" s="235"/>
    </row>
    <row r="72" spans="1:4" s="225" customFormat="1">
      <c r="A72" s="472"/>
      <c r="B72" s="464"/>
      <c r="C72" s="234"/>
      <c r="D72" s="235"/>
    </row>
    <row r="73" spans="1:4" s="225" customFormat="1" ht="63.75">
      <c r="A73" s="472"/>
      <c r="B73" s="464"/>
      <c r="C73" s="234" t="s">
        <v>1579</v>
      </c>
      <c r="D73" s="235"/>
    </row>
    <row r="74" spans="1:4" s="225" customFormat="1">
      <c r="A74" s="472"/>
      <c r="B74" s="464"/>
      <c r="C74" s="234"/>
      <c r="D74" s="235"/>
    </row>
    <row r="75" spans="1:4" s="225" customFormat="1" ht="51">
      <c r="A75" s="472"/>
      <c r="B75" s="464"/>
      <c r="C75" s="234" t="s">
        <v>1580</v>
      </c>
      <c r="D75" s="235"/>
    </row>
    <row r="76" spans="1:4" s="225" customFormat="1">
      <c r="A76" s="472"/>
      <c r="B76" s="464"/>
      <c r="C76" s="234"/>
      <c r="D76" s="235"/>
    </row>
    <row r="77" spans="1:4" s="225" customFormat="1" ht="38.25">
      <c r="A77" s="472"/>
      <c r="B77" s="464"/>
      <c r="C77" s="234" t="s">
        <v>1581</v>
      </c>
      <c r="D77" s="235"/>
    </row>
    <row r="78" spans="1:4" s="225" customFormat="1">
      <c r="A78" s="472"/>
      <c r="B78" s="464"/>
      <c r="C78" s="234"/>
      <c r="D78" s="235"/>
    </row>
    <row r="79" spans="1:4" s="225" customFormat="1" ht="38.25">
      <c r="A79" s="472"/>
      <c r="B79" s="464"/>
      <c r="C79" s="234" t="s">
        <v>1582</v>
      </c>
      <c r="D79" s="235"/>
    </row>
    <row r="80" spans="1:4" s="225" customFormat="1">
      <c r="A80" s="472"/>
      <c r="B80" s="464"/>
      <c r="C80" s="234"/>
      <c r="D80" s="235"/>
    </row>
    <row r="81" spans="1:4" s="225" customFormat="1">
      <c r="A81" s="472"/>
      <c r="B81" s="464"/>
      <c r="C81" s="234"/>
      <c r="D81" s="235"/>
    </row>
    <row r="82" spans="1:4" s="226" customFormat="1">
      <c r="A82" s="473"/>
      <c r="B82" s="465">
        <v>1.06</v>
      </c>
      <c r="C82" s="237" t="s">
        <v>1153</v>
      </c>
      <c r="D82" s="238"/>
    </row>
    <row r="83" spans="1:4" s="225" customFormat="1">
      <c r="A83" s="472"/>
      <c r="B83" s="464"/>
      <c r="C83" s="234"/>
      <c r="D83" s="235"/>
    </row>
    <row r="84" spans="1:4" s="225" customFormat="1" ht="63.75">
      <c r="A84" s="472"/>
      <c r="B84" s="464"/>
      <c r="C84" s="234" t="s">
        <v>1583</v>
      </c>
      <c r="D84" s="235"/>
    </row>
    <row r="85" spans="1:4" s="225" customFormat="1">
      <c r="A85" s="472"/>
      <c r="B85" s="464"/>
      <c r="C85" s="234"/>
      <c r="D85" s="235"/>
    </row>
    <row r="86" spans="1:4" s="225" customFormat="1" ht="38.25">
      <c r="A86" s="472"/>
      <c r="B86" s="464"/>
      <c r="C86" s="234" t="s">
        <v>1584</v>
      </c>
      <c r="D86" s="235"/>
    </row>
    <row r="87" spans="1:4" s="225" customFormat="1">
      <c r="A87" s="472"/>
      <c r="B87" s="464"/>
      <c r="C87" s="234"/>
      <c r="D87" s="235"/>
    </row>
    <row r="88" spans="1:4" s="225" customFormat="1">
      <c r="A88" s="472"/>
      <c r="B88" s="464"/>
      <c r="C88" s="234" t="s">
        <v>1585</v>
      </c>
      <c r="D88" s="235"/>
    </row>
    <row r="89" spans="1:4" s="225" customFormat="1">
      <c r="A89" s="472"/>
      <c r="B89" s="464"/>
      <c r="C89" s="234"/>
      <c r="D89" s="235"/>
    </row>
    <row r="90" spans="1:4" s="225" customFormat="1">
      <c r="A90" s="472"/>
      <c r="B90" s="464"/>
      <c r="C90" s="234" t="s">
        <v>2529</v>
      </c>
      <c r="D90" s="235"/>
    </row>
    <row r="91" spans="1:4" s="225" customFormat="1">
      <c r="A91" s="472"/>
      <c r="B91" s="464"/>
      <c r="C91" s="234"/>
      <c r="D91" s="235"/>
    </row>
    <row r="92" spans="1:4" s="225" customFormat="1">
      <c r="A92" s="472"/>
      <c r="B92" s="464"/>
      <c r="C92" s="234" t="s">
        <v>2530</v>
      </c>
      <c r="D92" s="235"/>
    </row>
    <row r="93" spans="1:4" s="225" customFormat="1">
      <c r="A93" s="472"/>
      <c r="B93" s="464"/>
      <c r="C93" s="234" t="s">
        <v>2531</v>
      </c>
      <c r="D93" s="235"/>
    </row>
    <row r="94" spans="1:4" s="225" customFormat="1">
      <c r="A94" s="472"/>
      <c r="B94" s="464"/>
      <c r="C94" s="234" t="s">
        <v>2532</v>
      </c>
      <c r="D94" s="235"/>
    </row>
    <row r="95" spans="1:4" s="225" customFormat="1">
      <c r="A95" s="472"/>
      <c r="B95" s="464"/>
      <c r="C95" s="234" t="s">
        <v>2533</v>
      </c>
      <c r="D95" s="235"/>
    </row>
    <row r="96" spans="1:4" s="225" customFormat="1">
      <c r="A96" s="472"/>
      <c r="B96" s="464"/>
      <c r="C96" s="234" t="s">
        <v>2534</v>
      </c>
      <c r="D96" s="235"/>
    </row>
    <row r="97" spans="1:4" s="225" customFormat="1">
      <c r="A97" s="472"/>
      <c r="B97" s="464"/>
      <c r="C97" s="234"/>
      <c r="D97" s="235"/>
    </row>
    <row r="98" spans="1:4" s="225" customFormat="1" ht="51">
      <c r="A98" s="472"/>
      <c r="B98" s="464"/>
      <c r="C98" s="234" t="s">
        <v>2535</v>
      </c>
      <c r="D98" s="235"/>
    </row>
    <row r="99" spans="1:4" s="225" customFormat="1">
      <c r="A99" s="472"/>
      <c r="B99" s="464"/>
      <c r="C99" s="234"/>
      <c r="D99" s="235"/>
    </row>
    <row r="100" spans="1:4" s="225" customFormat="1" ht="51">
      <c r="A100" s="472"/>
      <c r="B100" s="464"/>
      <c r="C100" s="234" t="s">
        <v>2536</v>
      </c>
      <c r="D100" s="235"/>
    </row>
    <row r="101" spans="1:4" s="225" customFormat="1">
      <c r="A101" s="472"/>
      <c r="B101" s="464"/>
      <c r="C101" s="234"/>
      <c r="D101" s="235"/>
    </row>
    <row r="102" spans="1:4" s="225" customFormat="1" ht="25.5">
      <c r="A102" s="472"/>
      <c r="B102" s="464"/>
      <c r="C102" s="234" t="s">
        <v>2537</v>
      </c>
      <c r="D102" s="235"/>
    </row>
    <row r="103" spans="1:4" s="225" customFormat="1">
      <c r="A103" s="472"/>
      <c r="B103" s="464"/>
      <c r="C103" s="234"/>
      <c r="D103" s="235"/>
    </row>
    <row r="104" spans="1:4" s="225" customFormat="1" ht="38.25">
      <c r="A104" s="472"/>
      <c r="B104" s="464"/>
      <c r="C104" s="234" t="s">
        <v>2538</v>
      </c>
      <c r="D104" s="235"/>
    </row>
    <row r="105" spans="1:4" s="225" customFormat="1">
      <c r="A105" s="472"/>
      <c r="B105" s="464"/>
      <c r="C105" s="234"/>
      <c r="D105" s="235"/>
    </row>
    <row r="106" spans="1:4" s="225" customFormat="1" ht="38.25">
      <c r="A106" s="472"/>
      <c r="B106" s="464"/>
      <c r="C106" s="234" t="s">
        <v>2539</v>
      </c>
      <c r="D106" s="235"/>
    </row>
    <row r="107" spans="1:4" s="225" customFormat="1">
      <c r="A107" s="472"/>
      <c r="B107" s="464"/>
      <c r="C107" s="234"/>
      <c r="D107" s="235"/>
    </row>
    <row r="108" spans="1:4" s="225" customFormat="1">
      <c r="A108" s="472"/>
      <c r="B108" s="464"/>
      <c r="C108" s="234" t="s">
        <v>2540</v>
      </c>
      <c r="D108" s="235"/>
    </row>
    <row r="109" spans="1:4" s="225" customFormat="1">
      <c r="A109" s="472"/>
      <c r="B109" s="464"/>
      <c r="C109" s="234"/>
      <c r="D109" s="235"/>
    </row>
    <row r="110" spans="1:4" s="225" customFormat="1" ht="38.25">
      <c r="A110" s="472"/>
      <c r="B110" s="464"/>
      <c r="C110" s="234" t="s">
        <v>2541</v>
      </c>
      <c r="D110" s="235"/>
    </row>
    <row r="111" spans="1:4" s="225" customFormat="1">
      <c r="A111" s="472"/>
      <c r="B111" s="464"/>
      <c r="C111" s="234"/>
      <c r="D111" s="235"/>
    </row>
    <row r="112" spans="1:4" s="225" customFormat="1">
      <c r="A112" s="472"/>
      <c r="B112" s="464"/>
      <c r="C112" s="234" t="s">
        <v>1629</v>
      </c>
      <c r="D112" s="235"/>
    </row>
    <row r="113" spans="1:4" s="225" customFormat="1">
      <c r="A113" s="472"/>
      <c r="B113" s="464"/>
      <c r="C113" s="234"/>
      <c r="D113" s="235"/>
    </row>
    <row r="114" spans="1:4" s="225" customFormat="1" ht="38.25">
      <c r="A114" s="472"/>
      <c r="B114" s="464"/>
      <c r="C114" s="234" t="s">
        <v>2542</v>
      </c>
      <c r="D114" s="235"/>
    </row>
    <row r="115" spans="1:4" s="225" customFormat="1">
      <c r="A115" s="472"/>
      <c r="B115" s="464"/>
      <c r="C115" s="234"/>
      <c r="D115" s="235"/>
    </row>
    <row r="116" spans="1:4" s="227" customFormat="1">
      <c r="A116" s="475"/>
      <c r="B116" s="524"/>
      <c r="C116" s="525" t="s">
        <v>2962</v>
      </c>
      <c r="D116" s="526" t="s">
        <v>2951</v>
      </c>
    </row>
    <row r="117" spans="1:4" s="225" customFormat="1">
      <c r="A117" s="472"/>
      <c r="B117" s="524"/>
      <c r="C117" s="525" t="s">
        <v>2952</v>
      </c>
      <c r="D117" s="614" t="s">
        <v>1472</v>
      </c>
    </row>
    <row r="118" spans="1:4" s="225" customFormat="1">
      <c r="A118" s="472"/>
      <c r="B118" s="524"/>
      <c r="C118" s="525" t="s">
        <v>2953</v>
      </c>
      <c r="D118" s="527">
        <v>5</v>
      </c>
    </row>
    <row r="119" spans="1:4" s="225" customFormat="1">
      <c r="A119" s="472"/>
      <c r="B119" s="524"/>
      <c r="C119" s="525" t="s">
        <v>2954</v>
      </c>
      <c r="D119" s="527">
        <v>20</v>
      </c>
    </row>
    <row r="120" spans="1:4" s="225" customFormat="1">
      <c r="A120" s="472"/>
      <c r="B120" s="524"/>
      <c r="C120" s="525" t="s">
        <v>2955</v>
      </c>
      <c r="D120" s="615" t="s">
        <v>1473</v>
      </c>
    </row>
    <row r="121" spans="1:4" s="225" customFormat="1">
      <c r="A121" s="472"/>
      <c r="B121" s="524"/>
      <c r="C121" s="525" t="s">
        <v>2956</v>
      </c>
      <c r="D121" s="527">
        <v>10</v>
      </c>
    </row>
    <row r="122" spans="1:4" s="225" customFormat="1">
      <c r="A122" s="472"/>
      <c r="B122" s="524"/>
      <c r="C122" s="525" t="s">
        <v>2957</v>
      </c>
      <c r="D122" s="527">
        <v>30</v>
      </c>
    </row>
    <row r="123" spans="1:4" s="225" customFormat="1">
      <c r="A123" s="472"/>
      <c r="B123" s="524"/>
      <c r="C123" s="525" t="s">
        <v>2958</v>
      </c>
      <c r="D123" s="615" t="s">
        <v>1473</v>
      </c>
    </row>
    <row r="124" spans="1:4" s="225" customFormat="1">
      <c r="A124" s="472"/>
      <c r="B124" s="524"/>
      <c r="C124" s="525" t="s">
        <v>2959</v>
      </c>
      <c r="D124" s="527">
        <v>30</v>
      </c>
    </row>
    <row r="125" spans="1:4" s="225" customFormat="1">
      <c r="A125" s="472"/>
      <c r="B125" s="524"/>
      <c r="C125" s="525"/>
      <c r="D125" s="527"/>
    </row>
    <row r="126" spans="1:4" s="227" customFormat="1">
      <c r="A126" s="475"/>
      <c r="B126" s="524"/>
      <c r="C126" s="525" t="s">
        <v>2963</v>
      </c>
      <c r="D126" s="527"/>
    </row>
    <row r="127" spans="1:4" s="225" customFormat="1">
      <c r="A127" s="472"/>
      <c r="B127" s="524"/>
      <c r="C127" s="525" t="s">
        <v>2960</v>
      </c>
      <c r="D127" s="615" t="s">
        <v>1474</v>
      </c>
    </row>
    <row r="128" spans="1:4" s="225" customFormat="1">
      <c r="A128" s="472"/>
      <c r="B128" s="524"/>
      <c r="C128" s="525" t="s">
        <v>2961</v>
      </c>
      <c r="D128" s="615" t="s">
        <v>1474</v>
      </c>
    </row>
    <row r="129" spans="1:4" s="225" customFormat="1">
      <c r="A129" s="472"/>
      <c r="B129" s="524"/>
      <c r="C129" s="525" t="s">
        <v>2965</v>
      </c>
      <c r="D129" s="527">
        <v>30</v>
      </c>
    </row>
    <row r="130" spans="1:4" s="225" customFormat="1">
      <c r="A130" s="472"/>
      <c r="B130" s="524"/>
      <c r="C130" s="525" t="s">
        <v>2966</v>
      </c>
      <c r="D130" s="527">
        <v>30</v>
      </c>
    </row>
    <row r="131" spans="1:4" s="225" customFormat="1">
      <c r="A131" s="472"/>
      <c r="B131" s="524"/>
      <c r="C131" s="525" t="s">
        <v>1162</v>
      </c>
      <c r="D131" s="615" t="s">
        <v>1474</v>
      </c>
    </row>
    <row r="132" spans="1:4" s="225" customFormat="1">
      <c r="A132" s="472"/>
      <c r="B132" s="524"/>
      <c r="C132" s="525" t="s">
        <v>1163</v>
      </c>
      <c r="D132" s="527">
        <v>30</v>
      </c>
    </row>
    <row r="133" spans="1:4" s="225" customFormat="1">
      <c r="A133" s="472"/>
      <c r="B133" s="524"/>
      <c r="C133" s="525" t="s">
        <v>1164</v>
      </c>
      <c r="D133" s="527">
        <v>30</v>
      </c>
    </row>
    <row r="134" spans="1:4" s="225" customFormat="1">
      <c r="A134" s="472"/>
      <c r="B134" s="524"/>
      <c r="C134" s="525" t="s">
        <v>1165</v>
      </c>
      <c r="D134" s="527">
        <v>30</v>
      </c>
    </row>
    <row r="135" spans="1:4" s="225" customFormat="1">
      <c r="A135" s="472"/>
      <c r="B135" s="524"/>
      <c r="C135" s="525"/>
      <c r="D135" s="527"/>
    </row>
    <row r="136" spans="1:4" s="227" customFormat="1">
      <c r="A136" s="475"/>
      <c r="B136" s="524"/>
      <c r="C136" s="525" t="s">
        <v>2964</v>
      </c>
      <c r="D136" s="527"/>
    </row>
    <row r="137" spans="1:4" s="225" customFormat="1">
      <c r="A137" s="472"/>
      <c r="B137" s="524"/>
      <c r="C137" s="525" t="s">
        <v>1166</v>
      </c>
      <c r="D137" s="615" t="s">
        <v>1475</v>
      </c>
    </row>
    <row r="138" spans="1:4" s="225" customFormat="1">
      <c r="A138" s="472"/>
      <c r="B138" s="524"/>
      <c r="C138" s="525" t="s">
        <v>1167</v>
      </c>
      <c r="D138" s="615" t="s">
        <v>1475</v>
      </c>
    </row>
    <row r="139" spans="1:4" s="225" customFormat="1">
      <c r="A139" s="472"/>
      <c r="B139" s="524"/>
      <c r="C139" s="525" t="s">
        <v>1168</v>
      </c>
      <c r="D139" s="615" t="s">
        <v>1476</v>
      </c>
    </row>
    <row r="140" spans="1:4" s="225" customFormat="1">
      <c r="A140" s="472"/>
      <c r="B140" s="524"/>
      <c r="C140" s="525" t="s">
        <v>1169</v>
      </c>
      <c r="D140" s="527">
        <v>30</v>
      </c>
    </row>
    <row r="141" spans="1:4" s="225" customFormat="1">
      <c r="A141" s="472"/>
      <c r="B141" s="524"/>
      <c r="C141" s="525" t="s">
        <v>1170</v>
      </c>
      <c r="D141" s="615" t="s">
        <v>1476</v>
      </c>
    </row>
    <row r="142" spans="1:4" s="225" customFormat="1">
      <c r="A142" s="472"/>
      <c r="B142" s="524"/>
      <c r="C142" s="525" t="s">
        <v>1171</v>
      </c>
      <c r="D142" s="615" t="s">
        <v>1475</v>
      </c>
    </row>
    <row r="143" spans="1:4" s="225" customFormat="1">
      <c r="A143" s="472"/>
      <c r="B143" s="464"/>
      <c r="C143" s="234"/>
      <c r="D143" s="235"/>
    </row>
    <row r="144" spans="1:4" s="225" customFormat="1">
      <c r="A144" s="472"/>
      <c r="B144" s="464"/>
      <c r="C144" s="234" t="s">
        <v>2543</v>
      </c>
      <c r="D144" s="235"/>
    </row>
    <row r="145" spans="1:4" s="225" customFormat="1">
      <c r="A145" s="472"/>
      <c r="B145" s="524"/>
      <c r="C145" s="525"/>
      <c r="D145" s="235"/>
    </row>
    <row r="146" spans="1:4" s="225" customFormat="1">
      <c r="A146" s="472"/>
      <c r="B146" s="524"/>
      <c r="C146" s="525" t="s">
        <v>2544</v>
      </c>
      <c r="D146" s="235"/>
    </row>
    <row r="147" spans="1:4" s="225" customFormat="1">
      <c r="A147" s="472"/>
      <c r="B147" s="524"/>
      <c r="C147" s="525"/>
      <c r="D147" s="235"/>
    </row>
    <row r="148" spans="1:4" s="225" customFormat="1" ht="38.25">
      <c r="A148" s="472"/>
      <c r="B148" s="524"/>
      <c r="C148" s="525" t="s">
        <v>3393</v>
      </c>
      <c r="D148" s="235"/>
    </row>
    <row r="149" spans="1:4" s="225" customFormat="1">
      <c r="A149" s="472"/>
      <c r="B149" s="524"/>
      <c r="C149" s="525"/>
      <c r="D149" s="235"/>
    </row>
    <row r="150" spans="1:4" s="225" customFormat="1">
      <c r="A150" s="472"/>
      <c r="B150" s="524"/>
      <c r="C150" s="525" t="s">
        <v>3394</v>
      </c>
      <c r="D150" s="235"/>
    </row>
    <row r="151" spans="1:4" s="225" customFormat="1">
      <c r="A151" s="472"/>
      <c r="B151" s="524"/>
      <c r="C151" s="525"/>
      <c r="D151" s="235"/>
    </row>
    <row r="152" spans="1:4" s="225" customFormat="1" ht="38.25">
      <c r="A152" s="472"/>
      <c r="B152" s="524"/>
      <c r="C152" s="525" t="s">
        <v>3395</v>
      </c>
      <c r="D152" s="235"/>
    </row>
    <row r="153" spans="1:4" s="225" customFormat="1">
      <c r="A153" s="472"/>
      <c r="B153" s="524"/>
      <c r="C153" s="525"/>
      <c r="D153" s="235"/>
    </row>
    <row r="154" spans="1:4" s="225" customFormat="1">
      <c r="A154" s="472"/>
      <c r="B154" s="524"/>
      <c r="C154" s="525" t="s">
        <v>3396</v>
      </c>
      <c r="D154" s="235"/>
    </row>
    <row r="155" spans="1:4" s="225" customFormat="1">
      <c r="A155" s="472"/>
      <c r="B155" s="524"/>
      <c r="C155" s="525"/>
      <c r="D155" s="235"/>
    </row>
    <row r="156" spans="1:4" s="225" customFormat="1">
      <c r="A156" s="472"/>
      <c r="B156" s="524"/>
      <c r="C156" s="525" t="s">
        <v>2544</v>
      </c>
      <c r="D156" s="235"/>
    </row>
    <row r="157" spans="1:4" s="225" customFormat="1">
      <c r="A157" s="472"/>
      <c r="B157" s="524"/>
      <c r="C157" s="525"/>
      <c r="D157" s="235"/>
    </row>
    <row r="158" spans="1:4" s="225" customFormat="1" ht="57.75" customHeight="1">
      <c r="A158" s="472"/>
      <c r="B158" s="524"/>
      <c r="C158" s="525" t="s">
        <v>1114</v>
      </c>
      <c r="D158" s="235"/>
    </row>
    <row r="159" spans="1:4" s="225" customFormat="1">
      <c r="A159" s="472"/>
      <c r="B159" s="524"/>
      <c r="C159" s="525"/>
      <c r="D159" s="235"/>
    </row>
    <row r="160" spans="1:4" s="225" customFormat="1" ht="38.25">
      <c r="A160" s="472"/>
      <c r="B160" s="464"/>
      <c r="C160" s="234" t="s">
        <v>1115</v>
      </c>
      <c r="D160" s="235"/>
    </row>
    <row r="161" spans="1:4" s="225" customFormat="1">
      <c r="A161" s="472"/>
      <c r="B161" s="464"/>
      <c r="C161" s="234"/>
      <c r="D161" s="235"/>
    </row>
    <row r="162" spans="1:4" s="225" customFormat="1" ht="38.25">
      <c r="A162" s="472"/>
      <c r="B162" s="464"/>
      <c r="C162" s="234" t="s">
        <v>1116</v>
      </c>
      <c r="D162" s="235"/>
    </row>
    <row r="163" spans="1:4" s="225" customFormat="1">
      <c r="A163" s="472"/>
      <c r="B163" s="464"/>
      <c r="C163" s="234"/>
      <c r="D163" s="235"/>
    </row>
    <row r="164" spans="1:4" s="225" customFormat="1">
      <c r="A164" s="472"/>
      <c r="B164" s="464"/>
      <c r="C164" s="525" t="s">
        <v>3394</v>
      </c>
      <c r="D164" s="235"/>
    </row>
    <row r="165" spans="1:4" s="225" customFormat="1">
      <c r="A165" s="472"/>
      <c r="B165" s="464"/>
      <c r="C165" s="234"/>
      <c r="D165" s="235"/>
    </row>
    <row r="166" spans="1:4" s="225" customFormat="1" ht="25.5">
      <c r="A166" s="472"/>
      <c r="B166" s="464"/>
      <c r="C166" s="234" t="s">
        <v>1117</v>
      </c>
      <c r="D166" s="235"/>
    </row>
    <row r="167" spans="1:4" s="225" customFormat="1">
      <c r="A167" s="472"/>
      <c r="B167" s="464"/>
      <c r="C167" s="234"/>
      <c r="D167" s="235"/>
    </row>
    <row r="168" spans="1:4" s="225" customFormat="1">
      <c r="A168" s="472"/>
      <c r="B168" s="464"/>
      <c r="C168" s="234" t="s">
        <v>1118</v>
      </c>
      <c r="D168" s="235"/>
    </row>
    <row r="169" spans="1:4" s="225" customFormat="1">
      <c r="A169" s="472"/>
      <c r="B169" s="464"/>
      <c r="C169" s="234"/>
      <c r="D169" s="235"/>
    </row>
    <row r="170" spans="1:4" s="225" customFormat="1" ht="76.5">
      <c r="A170" s="472"/>
      <c r="B170" s="464"/>
      <c r="C170" s="234" t="s">
        <v>1119</v>
      </c>
      <c r="D170" s="235"/>
    </row>
    <row r="171" spans="1:4" s="225" customFormat="1">
      <c r="A171" s="472"/>
      <c r="B171" s="464"/>
      <c r="C171" s="234"/>
      <c r="D171" s="235"/>
    </row>
    <row r="172" spans="1:4" s="225" customFormat="1">
      <c r="A172" s="472"/>
      <c r="B172" s="464"/>
      <c r="C172" s="234" t="s">
        <v>1120</v>
      </c>
      <c r="D172" s="235"/>
    </row>
    <row r="173" spans="1:4" s="225" customFormat="1">
      <c r="A173" s="472"/>
      <c r="B173" s="464"/>
      <c r="C173" s="234"/>
      <c r="D173" s="235"/>
    </row>
    <row r="174" spans="1:4" s="225" customFormat="1">
      <c r="A174" s="472"/>
      <c r="B174" s="464"/>
      <c r="C174" s="234" t="s">
        <v>3229</v>
      </c>
      <c r="D174" s="235"/>
    </row>
    <row r="175" spans="1:4" s="225" customFormat="1" ht="38.25">
      <c r="A175" s="472"/>
      <c r="B175" s="464"/>
      <c r="C175" s="234" t="s">
        <v>2873</v>
      </c>
      <c r="D175" s="235"/>
    </row>
    <row r="176" spans="1:4" s="225" customFormat="1">
      <c r="A176" s="472"/>
      <c r="B176" s="464"/>
      <c r="C176" s="234"/>
      <c r="D176" s="235"/>
    </row>
    <row r="177" spans="1:7" s="225" customFormat="1">
      <c r="A177" s="472"/>
      <c r="B177" s="464"/>
      <c r="C177" s="237" t="s">
        <v>3693</v>
      </c>
      <c r="D177" s="235"/>
    </row>
    <row r="178" spans="1:7" s="225" customFormat="1">
      <c r="A178" s="472"/>
      <c r="B178" s="464"/>
      <c r="D178" s="235"/>
    </row>
    <row r="179" spans="1:7" s="225" customFormat="1" ht="63.75">
      <c r="A179" s="472"/>
      <c r="B179" s="464"/>
      <c r="C179" s="1224" t="s">
        <v>3701</v>
      </c>
      <c r="D179" s="1224"/>
      <c r="E179" s="1224"/>
      <c r="F179" s="1224"/>
      <c r="G179" s="1224"/>
    </row>
    <row r="180" spans="1:7" s="225" customFormat="1">
      <c r="A180" s="472"/>
      <c r="B180" s="464"/>
      <c r="C180" s="1221" t="s">
        <v>3702</v>
      </c>
      <c r="D180" s="235"/>
    </row>
    <row r="181" spans="1:7" s="225" customFormat="1">
      <c r="A181" s="472"/>
      <c r="B181" s="464"/>
      <c r="C181" s="1221"/>
      <c r="D181" s="235"/>
    </row>
    <row r="182" spans="1:7" s="226" customFormat="1">
      <c r="A182" s="473"/>
      <c r="B182" s="465">
        <v>1.07</v>
      </c>
      <c r="C182" s="237" t="s">
        <v>2895</v>
      </c>
      <c r="D182" s="238"/>
    </row>
    <row r="183" spans="1:7" s="225" customFormat="1">
      <c r="A183" s="472"/>
      <c r="B183" s="464"/>
      <c r="C183" s="234"/>
      <c r="D183" s="235"/>
    </row>
    <row r="184" spans="1:7" s="225" customFormat="1" ht="89.25">
      <c r="A184" s="472"/>
      <c r="B184" s="464"/>
      <c r="C184" s="234" t="s">
        <v>1155</v>
      </c>
      <c r="D184" s="235"/>
    </row>
    <row r="185" spans="1:7" s="225" customFormat="1">
      <c r="A185" s="472"/>
      <c r="B185" s="464"/>
      <c r="C185" s="234"/>
      <c r="D185" s="235"/>
    </row>
    <row r="186" spans="1:7" s="225" customFormat="1" ht="38.25">
      <c r="A186" s="472"/>
      <c r="B186" s="464"/>
      <c r="C186" s="234" t="s">
        <v>1129</v>
      </c>
      <c r="D186" s="235"/>
    </row>
    <row r="187" spans="1:7" s="225" customFormat="1">
      <c r="A187" s="472"/>
      <c r="B187" s="464"/>
      <c r="C187" s="234"/>
      <c r="D187" s="235"/>
    </row>
    <row r="188" spans="1:7" s="225" customFormat="1" ht="38.25">
      <c r="A188" s="472"/>
      <c r="B188" s="464"/>
      <c r="C188" s="234" t="s">
        <v>1130</v>
      </c>
      <c r="D188" s="235"/>
    </row>
    <row r="189" spans="1:7" s="225" customFormat="1">
      <c r="A189" s="472"/>
      <c r="B189" s="464"/>
      <c r="C189" s="234"/>
      <c r="D189" s="235"/>
    </row>
    <row r="190" spans="1:7" s="225" customFormat="1">
      <c r="A190" s="472"/>
      <c r="B190" s="464"/>
      <c r="C190" s="525" t="s">
        <v>1131</v>
      </c>
      <c r="D190" s="235"/>
    </row>
    <row r="191" spans="1:7" s="225" customFormat="1">
      <c r="A191" s="472"/>
      <c r="B191" s="464"/>
      <c r="C191" s="234"/>
      <c r="D191" s="235"/>
    </row>
    <row r="192" spans="1:7" s="225" customFormat="1" ht="76.5">
      <c r="A192" s="472"/>
      <c r="B192" s="464"/>
      <c r="C192" s="234" t="s">
        <v>1132</v>
      </c>
      <c r="D192" s="235"/>
    </row>
    <row r="193" spans="1:4" s="225" customFormat="1">
      <c r="A193" s="472"/>
      <c r="B193" s="464"/>
      <c r="C193" s="234"/>
      <c r="D193" s="235"/>
    </row>
    <row r="194" spans="1:4" s="226" customFormat="1">
      <c r="A194" s="473"/>
      <c r="B194" s="465">
        <v>1.08</v>
      </c>
      <c r="C194" s="237" t="s">
        <v>3130</v>
      </c>
      <c r="D194" s="238"/>
    </row>
    <row r="195" spans="1:4" s="225" customFormat="1">
      <c r="A195" s="472"/>
      <c r="B195" s="464"/>
      <c r="C195" s="234"/>
      <c r="D195" s="235"/>
    </row>
    <row r="196" spans="1:4" s="225" customFormat="1" ht="51">
      <c r="A196" s="472"/>
      <c r="B196" s="464"/>
      <c r="C196" s="234" t="s">
        <v>1133</v>
      </c>
      <c r="D196" s="235"/>
    </row>
    <row r="197" spans="1:4" s="225" customFormat="1">
      <c r="A197" s="472"/>
      <c r="B197" s="464"/>
      <c r="C197" s="234"/>
      <c r="D197" s="235"/>
    </row>
    <row r="198" spans="1:4" s="225" customFormat="1" ht="25.5">
      <c r="A198" s="472"/>
      <c r="B198" s="464"/>
      <c r="C198" s="234" t="s">
        <v>1134</v>
      </c>
      <c r="D198" s="235"/>
    </row>
    <row r="199" spans="1:4" s="225" customFormat="1">
      <c r="A199" s="472"/>
      <c r="B199" s="464"/>
      <c r="C199" s="234"/>
      <c r="D199" s="235"/>
    </row>
    <row r="200" spans="1:4" s="225" customFormat="1">
      <c r="A200" s="472"/>
      <c r="B200" s="464"/>
      <c r="C200" s="525" t="s">
        <v>3394</v>
      </c>
      <c r="D200" s="235"/>
    </row>
    <row r="201" spans="1:4" s="225" customFormat="1">
      <c r="A201" s="472"/>
      <c r="B201" s="464"/>
      <c r="C201" s="234"/>
      <c r="D201" s="235"/>
    </row>
    <row r="202" spans="1:4" s="225" customFormat="1" ht="38.25">
      <c r="A202" s="472"/>
      <c r="B202" s="464"/>
      <c r="C202" s="234" t="s">
        <v>2042</v>
      </c>
      <c r="D202" s="235"/>
    </row>
    <row r="203" spans="1:4" s="225" customFormat="1">
      <c r="A203" s="472"/>
      <c r="B203" s="464"/>
      <c r="C203" s="234"/>
      <c r="D203" s="235"/>
    </row>
    <row r="204" spans="1:4" s="226" customFormat="1">
      <c r="A204" s="473"/>
      <c r="B204" s="467">
        <v>1.0900000000000001</v>
      </c>
      <c r="C204" s="237" t="s">
        <v>2897</v>
      </c>
      <c r="D204" s="238"/>
    </row>
    <row r="205" spans="1:4" s="225" customFormat="1">
      <c r="A205" s="472"/>
      <c r="B205" s="464"/>
      <c r="C205" s="234"/>
      <c r="D205" s="235"/>
    </row>
    <row r="206" spans="1:4" s="225" customFormat="1" ht="51">
      <c r="A206" s="472"/>
      <c r="B206" s="464"/>
      <c r="C206" s="234" t="s">
        <v>2043</v>
      </c>
      <c r="D206" s="235"/>
    </row>
    <row r="207" spans="1:4" s="225" customFormat="1">
      <c r="A207" s="472"/>
      <c r="B207" s="464"/>
      <c r="C207" s="234"/>
      <c r="D207" s="235"/>
    </row>
    <row r="208" spans="1:4" s="225" customFormat="1" ht="51">
      <c r="A208" s="472"/>
      <c r="B208" s="464"/>
      <c r="C208" s="234" t="s">
        <v>2044</v>
      </c>
      <c r="D208" s="235"/>
    </row>
    <row r="209" spans="1:4" s="225" customFormat="1">
      <c r="A209" s="472"/>
      <c r="B209" s="464"/>
      <c r="C209" s="234"/>
      <c r="D209" s="235"/>
    </row>
    <row r="210" spans="1:4" s="225" customFormat="1">
      <c r="A210" s="472"/>
      <c r="B210" s="464"/>
      <c r="C210" s="234" t="s">
        <v>2045</v>
      </c>
      <c r="D210" s="235"/>
    </row>
    <row r="211" spans="1:4" s="225" customFormat="1">
      <c r="A211" s="472"/>
      <c r="B211" s="464"/>
      <c r="C211" s="234"/>
      <c r="D211" s="235"/>
    </row>
    <row r="212" spans="1:4" s="225" customFormat="1" ht="38.25">
      <c r="A212" s="472"/>
      <c r="B212" s="464"/>
      <c r="C212" s="234" t="s">
        <v>2046</v>
      </c>
      <c r="D212" s="235"/>
    </row>
    <row r="213" spans="1:4" s="225" customFormat="1">
      <c r="A213" s="472"/>
      <c r="B213" s="464"/>
      <c r="C213" s="234"/>
      <c r="D213" s="235"/>
    </row>
    <row r="214" spans="1:4" s="225" customFormat="1" ht="25.5">
      <c r="A214" s="472"/>
      <c r="B214" s="464"/>
      <c r="C214" s="234" t="s">
        <v>2482</v>
      </c>
      <c r="D214" s="235"/>
    </row>
    <row r="215" spans="1:4" s="225" customFormat="1">
      <c r="A215" s="472"/>
      <c r="B215" s="464"/>
      <c r="C215" s="234"/>
      <c r="D215" s="235"/>
    </row>
    <row r="216" spans="1:4" s="225" customFormat="1">
      <c r="A216" s="472"/>
      <c r="B216" s="464"/>
      <c r="C216" s="1221" t="s">
        <v>3695</v>
      </c>
      <c r="D216" s="235"/>
    </row>
    <row r="217" spans="1:4" s="225" customFormat="1">
      <c r="A217" s="472"/>
      <c r="B217" s="464"/>
      <c r="C217" s="234"/>
      <c r="D217" s="235"/>
    </row>
    <row r="218" spans="1:4" s="225" customFormat="1">
      <c r="A218" s="472"/>
      <c r="B218" s="464"/>
      <c r="C218" s="234" t="s">
        <v>1172</v>
      </c>
      <c r="D218" s="235"/>
    </row>
    <row r="219" spans="1:4" s="225" customFormat="1">
      <c r="A219" s="472"/>
      <c r="B219" s="464"/>
      <c r="C219" s="234"/>
      <c r="D219" s="235"/>
    </row>
    <row r="220" spans="1:4" s="225" customFormat="1">
      <c r="A220" s="472"/>
      <c r="B220" s="464"/>
      <c r="C220" s="1221" t="s">
        <v>3696</v>
      </c>
      <c r="D220" s="235"/>
    </row>
    <row r="221" spans="1:4" s="225" customFormat="1">
      <c r="A221" s="472"/>
      <c r="B221" s="464"/>
      <c r="C221" s="234"/>
      <c r="D221" s="235"/>
    </row>
    <row r="222" spans="1:4" s="225" customFormat="1" ht="38.25">
      <c r="A222" s="472"/>
      <c r="B222" s="464"/>
      <c r="C222" s="234" t="s">
        <v>1173</v>
      </c>
      <c r="D222" s="235"/>
    </row>
    <row r="223" spans="1:4" s="225" customFormat="1">
      <c r="A223" s="472"/>
      <c r="B223" s="464"/>
      <c r="C223" s="234"/>
      <c r="D223" s="235"/>
    </row>
    <row r="224" spans="1:4" s="225" customFormat="1">
      <c r="A224" s="472"/>
      <c r="B224" s="464"/>
      <c r="C224" s="234"/>
      <c r="D224" s="235"/>
    </row>
    <row r="225" spans="1:4" s="225" customFormat="1">
      <c r="A225" s="472"/>
      <c r="B225" s="464"/>
      <c r="C225" s="234" t="s">
        <v>1174</v>
      </c>
      <c r="D225" s="235"/>
    </row>
    <row r="226" spans="1:4" s="225" customFormat="1">
      <c r="A226" s="472"/>
      <c r="B226" s="464"/>
      <c r="C226" s="234"/>
      <c r="D226" s="235"/>
    </row>
    <row r="227" spans="1:4" s="225" customFormat="1">
      <c r="A227" s="472"/>
      <c r="B227" s="464"/>
      <c r="C227" s="234" t="s">
        <v>1175</v>
      </c>
      <c r="D227" s="235"/>
    </row>
    <row r="228" spans="1:4" s="225" customFormat="1">
      <c r="A228" s="472"/>
      <c r="B228" s="464"/>
      <c r="C228" s="234"/>
      <c r="D228" s="235"/>
    </row>
    <row r="229" spans="1:4" s="225" customFormat="1">
      <c r="A229" s="472"/>
      <c r="B229" s="464"/>
      <c r="C229" s="1221" t="s">
        <v>3697</v>
      </c>
      <c r="D229" s="235"/>
    </row>
    <row r="230" spans="1:4" s="225" customFormat="1">
      <c r="A230" s="472"/>
      <c r="B230" s="464"/>
      <c r="C230" s="234"/>
      <c r="D230" s="235"/>
    </row>
    <row r="231" spans="1:4" s="225" customFormat="1">
      <c r="A231" s="472"/>
      <c r="B231" s="464"/>
      <c r="C231" s="234" t="s">
        <v>2528</v>
      </c>
      <c r="D231" s="235"/>
    </row>
    <row r="232" spans="1:4" s="225" customFormat="1">
      <c r="A232" s="472"/>
      <c r="B232" s="464"/>
      <c r="C232" s="234"/>
      <c r="D232" s="235"/>
    </row>
    <row r="233" spans="1:4" s="225" customFormat="1" ht="25.5">
      <c r="A233" s="472"/>
      <c r="B233" s="464"/>
      <c r="C233" s="234" t="s">
        <v>951</v>
      </c>
      <c r="D233" s="235"/>
    </row>
    <row r="234" spans="1:4" s="225" customFormat="1">
      <c r="A234" s="472"/>
      <c r="B234" s="464"/>
      <c r="C234" s="234"/>
      <c r="D234" s="235"/>
    </row>
    <row r="235" spans="1:4" s="225" customFormat="1" ht="51">
      <c r="A235" s="472"/>
      <c r="B235" s="464"/>
      <c r="C235" s="234" t="s">
        <v>952</v>
      </c>
      <c r="D235" s="235"/>
    </row>
    <row r="236" spans="1:4" s="225" customFormat="1">
      <c r="A236" s="472"/>
      <c r="B236" s="464"/>
      <c r="C236" s="234"/>
      <c r="D236" s="235"/>
    </row>
    <row r="237" spans="1:4" s="225" customFormat="1" ht="25.5">
      <c r="A237" s="472"/>
      <c r="B237" s="464"/>
      <c r="C237" s="234" t="s">
        <v>665</v>
      </c>
      <c r="D237" s="235"/>
    </row>
    <row r="238" spans="1:4" s="225" customFormat="1">
      <c r="A238" s="472"/>
      <c r="B238" s="464"/>
      <c r="C238" s="234"/>
      <c r="D238" s="235"/>
    </row>
    <row r="239" spans="1:4" s="225" customFormat="1">
      <c r="A239" s="472"/>
      <c r="B239" s="464"/>
      <c r="C239" s="234" t="s">
        <v>666</v>
      </c>
      <c r="D239" s="235"/>
    </row>
    <row r="240" spans="1:4" s="225" customFormat="1">
      <c r="A240" s="472"/>
      <c r="B240" s="464"/>
      <c r="C240" s="234"/>
      <c r="D240" s="235"/>
    </row>
    <row r="241" spans="1:4" s="225" customFormat="1" ht="25.5">
      <c r="A241" s="472"/>
      <c r="B241" s="464"/>
      <c r="C241" s="234" t="s">
        <v>667</v>
      </c>
      <c r="D241" s="235"/>
    </row>
    <row r="242" spans="1:4" s="225" customFormat="1">
      <c r="A242" s="472"/>
      <c r="B242" s="464"/>
      <c r="C242" s="234"/>
      <c r="D242" s="235"/>
    </row>
    <row r="243" spans="1:4" s="225" customFormat="1" ht="25.5">
      <c r="A243" s="472"/>
      <c r="B243" s="464"/>
      <c r="C243" s="234" t="s">
        <v>668</v>
      </c>
      <c r="D243" s="235"/>
    </row>
    <row r="244" spans="1:4" s="225" customFormat="1">
      <c r="A244" s="472"/>
      <c r="B244" s="464"/>
      <c r="C244" s="234"/>
      <c r="D244" s="235"/>
    </row>
    <row r="245" spans="1:4" s="225" customFormat="1" ht="38.25">
      <c r="A245" s="472"/>
      <c r="B245" s="464"/>
      <c r="C245" s="234" t="s">
        <v>669</v>
      </c>
      <c r="D245" s="235"/>
    </row>
    <row r="246" spans="1:4" s="225" customFormat="1" ht="38.25">
      <c r="A246" s="472"/>
      <c r="B246" s="464"/>
      <c r="C246" s="1221" t="s">
        <v>3699</v>
      </c>
      <c r="D246" s="235"/>
    </row>
    <row r="247" spans="1:4" s="225" customFormat="1">
      <c r="A247" s="472"/>
      <c r="B247" s="464"/>
      <c r="D247" s="235"/>
    </row>
    <row r="248" spans="1:4" s="225" customFormat="1">
      <c r="A248" s="472"/>
      <c r="B248" s="464"/>
      <c r="C248" s="234"/>
      <c r="D248" s="235"/>
    </row>
    <row r="249" spans="1:4" s="226" customFormat="1">
      <c r="A249" s="473"/>
      <c r="B249" s="467" t="s">
        <v>2896</v>
      </c>
      <c r="C249" s="237" t="s">
        <v>2899</v>
      </c>
      <c r="D249" s="238"/>
    </row>
    <row r="250" spans="1:4" s="225" customFormat="1">
      <c r="A250" s="472"/>
      <c r="B250" s="464"/>
      <c r="C250" s="234"/>
      <c r="D250" s="235"/>
    </row>
    <row r="251" spans="1:4" s="225" customFormat="1" ht="38.25">
      <c r="A251" s="472"/>
      <c r="B251" s="464"/>
      <c r="C251" s="234" t="s">
        <v>670</v>
      </c>
      <c r="D251" s="235"/>
    </row>
    <row r="252" spans="1:4" s="225" customFormat="1">
      <c r="A252" s="472"/>
      <c r="B252" s="464"/>
      <c r="C252" s="234"/>
      <c r="D252" s="235"/>
    </row>
    <row r="253" spans="1:4" s="225" customFormat="1" ht="38.25">
      <c r="A253" s="472"/>
      <c r="B253" s="464"/>
      <c r="C253" s="234" t="s">
        <v>671</v>
      </c>
      <c r="D253" s="235"/>
    </row>
    <row r="254" spans="1:4" s="225" customFormat="1">
      <c r="A254" s="472"/>
      <c r="B254" s="464"/>
      <c r="C254" s="234"/>
      <c r="D254" s="235"/>
    </row>
    <row r="255" spans="1:4" s="225" customFormat="1" ht="38.25">
      <c r="A255" s="472"/>
      <c r="B255" s="464"/>
      <c r="C255" s="234" t="s">
        <v>672</v>
      </c>
      <c r="D255" s="235"/>
    </row>
    <row r="256" spans="1:4" s="225" customFormat="1">
      <c r="A256" s="472"/>
      <c r="B256" s="464"/>
      <c r="C256" s="234"/>
      <c r="D256" s="235"/>
    </row>
    <row r="257" spans="1:4" s="225" customFormat="1" ht="38.25">
      <c r="A257" s="472"/>
      <c r="B257" s="464"/>
      <c r="C257" s="234" t="s">
        <v>673</v>
      </c>
      <c r="D257" s="235"/>
    </row>
    <row r="258" spans="1:4" s="225" customFormat="1">
      <c r="A258" s="472"/>
      <c r="B258" s="464"/>
      <c r="C258" s="234"/>
      <c r="D258" s="235"/>
    </row>
    <row r="259" spans="1:4" s="225" customFormat="1" ht="25.5">
      <c r="A259" s="472"/>
      <c r="B259" s="464"/>
      <c r="C259" s="234" t="s">
        <v>674</v>
      </c>
      <c r="D259" s="235"/>
    </row>
    <row r="260" spans="1:4" s="225" customFormat="1">
      <c r="A260" s="472"/>
      <c r="B260" s="464"/>
      <c r="C260" s="234"/>
      <c r="D260" s="235"/>
    </row>
    <row r="261" spans="1:4" s="225" customFormat="1" ht="38.25">
      <c r="A261" s="472"/>
      <c r="B261" s="464"/>
      <c r="C261" s="234" t="s">
        <v>675</v>
      </c>
      <c r="D261" s="235"/>
    </row>
    <row r="262" spans="1:4" s="225" customFormat="1">
      <c r="A262" s="472"/>
      <c r="B262" s="464"/>
      <c r="C262" s="234"/>
      <c r="D262" s="235"/>
    </row>
    <row r="263" spans="1:4" s="225" customFormat="1">
      <c r="A263" s="472"/>
      <c r="B263" s="464"/>
      <c r="C263" s="1221" t="s">
        <v>3694</v>
      </c>
      <c r="D263" s="235"/>
    </row>
    <row r="264" spans="1:4" s="225" customFormat="1">
      <c r="A264" s="472"/>
      <c r="B264" s="464"/>
      <c r="C264" s="234"/>
      <c r="D264" s="235"/>
    </row>
    <row r="265" spans="1:4" s="226" customFormat="1">
      <c r="A265" s="473"/>
      <c r="B265" s="467" t="s">
        <v>2898</v>
      </c>
      <c r="C265" s="237" t="s">
        <v>2901</v>
      </c>
      <c r="D265" s="238"/>
    </row>
    <row r="266" spans="1:4" s="225" customFormat="1">
      <c r="A266" s="472"/>
      <c r="B266" s="464"/>
      <c r="C266" s="234"/>
      <c r="D266" s="235"/>
    </row>
    <row r="267" spans="1:4" s="225" customFormat="1" ht="25.5">
      <c r="A267" s="472"/>
      <c r="B267" s="464"/>
      <c r="C267" s="234" t="s">
        <v>676</v>
      </c>
      <c r="D267" s="235"/>
    </row>
    <row r="268" spans="1:4" s="225" customFormat="1">
      <c r="A268" s="472"/>
      <c r="B268" s="464"/>
      <c r="C268" s="234"/>
      <c r="D268" s="235"/>
    </row>
    <row r="269" spans="1:4" s="225" customFormat="1">
      <c r="A269" s="472"/>
      <c r="B269" s="464"/>
      <c r="C269" s="234" t="s">
        <v>1131</v>
      </c>
      <c r="D269" s="235"/>
    </row>
    <row r="270" spans="1:4" s="225" customFormat="1">
      <c r="A270" s="472"/>
      <c r="B270" s="464"/>
      <c r="C270" s="234"/>
      <c r="D270" s="235"/>
    </row>
    <row r="271" spans="1:4" s="225" customFormat="1" ht="25.5">
      <c r="A271" s="472"/>
      <c r="B271" s="464"/>
      <c r="C271" s="234" t="s">
        <v>677</v>
      </c>
      <c r="D271" s="235"/>
    </row>
    <row r="272" spans="1:4" s="225" customFormat="1">
      <c r="A272" s="472"/>
      <c r="B272" s="464"/>
      <c r="C272" s="234"/>
      <c r="D272" s="235"/>
    </row>
    <row r="273" spans="1:4" s="226" customFormat="1">
      <c r="A273" s="473"/>
      <c r="B273" s="467" t="s">
        <v>2900</v>
      </c>
      <c r="C273" s="237" t="s">
        <v>2902</v>
      </c>
      <c r="D273" s="238"/>
    </row>
    <row r="274" spans="1:4" s="225" customFormat="1">
      <c r="A274" s="472"/>
      <c r="B274" s="464"/>
      <c r="C274" s="234"/>
      <c r="D274" s="235"/>
    </row>
    <row r="275" spans="1:4" s="225" customFormat="1" ht="25.5">
      <c r="A275" s="472"/>
      <c r="B275" s="464"/>
      <c r="C275" s="234" t="s">
        <v>678</v>
      </c>
      <c r="D275" s="235"/>
    </row>
    <row r="276" spans="1:4" s="225" customFormat="1">
      <c r="A276" s="472"/>
      <c r="B276" s="464"/>
      <c r="C276" s="234"/>
      <c r="D276" s="235"/>
    </row>
    <row r="277" spans="1:4" s="225" customFormat="1">
      <c r="A277" s="472"/>
      <c r="B277" s="464"/>
      <c r="C277" s="234" t="s">
        <v>679</v>
      </c>
      <c r="D277" s="235"/>
    </row>
    <row r="278" spans="1:4" s="225" customFormat="1">
      <c r="A278" s="472"/>
      <c r="B278" s="464"/>
      <c r="C278" s="234"/>
      <c r="D278" s="235"/>
    </row>
    <row r="279" spans="1:4" s="225" customFormat="1" ht="38.25">
      <c r="A279" s="472"/>
      <c r="B279" s="464"/>
      <c r="C279" s="234" t="s">
        <v>2476</v>
      </c>
      <c r="D279" s="235"/>
    </row>
    <row r="280" spans="1:4" s="225" customFormat="1">
      <c r="A280" s="472"/>
      <c r="B280" s="464"/>
      <c r="C280" s="234"/>
      <c r="D280" s="235"/>
    </row>
    <row r="281" spans="1:4" s="225" customFormat="1" ht="25.5">
      <c r="A281" s="472"/>
      <c r="B281" s="464"/>
      <c r="C281" s="234" t="s">
        <v>2477</v>
      </c>
      <c r="D281" s="235"/>
    </row>
    <row r="282" spans="1:4" s="225" customFormat="1">
      <c r="A282" s="472"/>
      <c r="B282" s="464"/>
      <c r="C282" s="234"/>
      <c r="D282" s="235"/>
    </row>
    <row r="283" spans="1:4" s="225" customFormat="1">
      <c r="A283" s="472"/>
      <c r="B283" s="464"/>
      <c r="C283" s="234" t="s">
        <v>2903</v>
      </c>
      <c r="D283" s="235"/>
    </row>
    <row r="284" spans="1:4" s="225" customFormat="1" ht="25.5">
      <c r="A284" s="472"/>
      <c r="B284" s="464"/>
      <c r="C284" s="234" t="s">
        <v>2905</v>
      </c>
      <c r="D284" s="235"/>
    </row>
    <row r="285" spans="1:4" s="225" customFormat="1" ht="25.5">
      <c r="A285" s="472"/>
      <c r="B285" s="464"/>
      <c r="C285" s="234" t="s">
        <v>2904</v>
      </c>
      <c r="D285" s="235"/>
    </row>
    <row r="286" spans="1:4" s="225" customFormat="1" ht="25.5">
      <c r="A286" s="472"/>
      <c r="B286" s="464"/>
      <c r="C286" s="234" t="s">
        <v>2906</v>
      </c>
      <c r="D286" s="235"/>
    </row>
    <row r="287" spans="1:4" s="225" customFormat="1">
      <c r="A287" s="472"/>
      <c r="B287" s="464"/>
      <c r="C287" s="234"/>
      <c r="D287" s="235"/>
    </row>
    <row r="288" spans="1:4" s="225" customFormat="1">
      <c r="A288" s="472"/>
      <c r="B288" s="464"/>
      <c r="C288" s="234" t="s">
        <v>2478</v>
      </c>
      <c r="D288" s="235"/>
    </row>
    <row r="289" spans="1:4" s="225" customFormat="1">
      <c r="A289" s="472"/>
      <c r="B289" s="464"/>
      <c r="C289" s="234"/>
      <c r="D289" s="235"/>
    </row>
    <row r="290" spans="1:4" s="225" customFormat="1" ht="38.25">
      <c r="A290" s="472"/>
      <c r="B290" s="464"/>
      <c r="C290" s="234" t="s">
        <v>2479</v>
      </c>
      <c r="D290" s="235"/>
    </row>
    <row r="291" spans="1:4" s="225" customFormat="1">
      <c r="A291" s="472"/>
      <c r="B291" s="464"/>
      <c r="C291" s="234"/>
      <c r="D291" s="235"/>
    </row>
    <row r="292" spans="1:4" s="225" customFormat="1">
      <c r="A292" s="472"/>
      <c r="B292" s="464"/>
      <c r="C292" s="234" t="s">
        <v>2480</v>
      </c>
      <c r="D292" s="235"/>
    </row>
    <row r="293" spans="1:4" s="225" customFormat="1">
      <c r="A293" s="472"/>
      <c r="B293" s="464"/>
      <c r="C293" s="234"/>
      <c r="D293" s="235"/>
    </row>
    <row r="294" spans="1:4" s="225" customFormat="1" ht="25.5">
      <c r="A294" s="472"/>
      <c r="B294" s="464"/>
      <c r="C294" s="234" t="s">
        <v>2481</v>
      </c>
      <c r="D294" s="235"/>
    </row>
    <row r="295" spans="1:4" s="225" customFormat="1">
      <c r="A295" s="472"/>
      <c r="B295" s="464"/>
      <c r="C295" s="234"/>
      <c r="D295" s="235"/>
    </row>
    <row r="296" spans="1:4" s="225" customFormat="1" ht="25.5">
      <c r="A296" s="472"/>
      <c r="B296" s="464"/>
      <c r="C296" s="234" t="s">
        <v>2907</v>
      </c>
      <c r="D296" s="235"/>
    </row>
    <row r="297" spans="1:4" s="225" customFormat="1" ht="25.5">
      <c r="A297" s="472"/>
      <c r="B297" s="464"/>
      <c r="C297" s="234" t="s">
        <v>2908</v>
      </c>
      <c r="D297" s="235"/>
    </row>
    <row r="298" spans="1:4" s="225" customFormat="1">
      <c r="A298" s="472"/>
      <c r="B298" s="464"/>
      <c r="C298" s="234" t="s">
        <v>2909</v>
      </c>
      <c r="D298" s="235"/>
    </row>
    <row r="299" spans="1:4" s="225" customFormat="1" ht="25.5">
      <c r="A299" s="472"/>
      <c r="B299" s="464"/>
      <c r="C299" s="234" t="s">
        <v>2910</v>
      </c>
      <c r="D299" s="235"/>
    </row>
    <row r="300" spans="1:4" s="225" customFormat="1" ht="25.5">
      <c r="A300" s="472"/>
      <c r="B300" s="464"/>
      <c r="C300" s="234" t="s">
        <v>2911</v>
      </c>
      <c r="D300" s="235"/>
    </row>
    <row r="301" spans="1:4" s="225" customFormat="1">
      <c r="A301" s="472"/>
      <c r="B301" s="464"/>
      <c r="C301" s="234"/>
      <c r="D301" s="235"/>
    </row>
    <row r="302" spans="1:4" s="225" customFormat="1" ht="25.5">
      <c r="A302" s="472"/>
      <c r="B302" s="464"/>
      <c r="C302" s="234" t="s">
        <v>2995</v>
      </c>
      <c r="D302" s="235"/>
    </row>
    <row r="303" spans="1:4" s="225" customFormat="1">
      <c r="A303" s="472"/>
      <c r="B303" s="464"/>
      <c r="C303" s="234"/>
      <c r="D303" s="235"/>
    </row>
    <row r="304" spans="1:4" s="225" customFormat="1" ht="25.5">
      <c r="A304" s="472"/>
      <c r="B304" s="464"/>
      <c r="C304" s="234" t="s">
        <v>2996</v>
      </c>
      <c r="D304" s="235"/>
    </row>
    <row r="305" spans="1:12" s="225" customFormat="1">
      <c r="A305" s="472"/>
      <c r="B305" s="464"/>
      <c r="C305" s="234"/>
      <c r="D305" s="235"/>
    </row>
    <row r="306" spans="1:12" s="225" customFormat="1">
      <c r="A306" s="472"/>
      <c r="B306" s="464"/>
      <c r="C306" s="234" t="s">
        <v>2997</v>
      </c>
      <c r="D306" s="235"/>
    </row>
    <row r="307" spans="1:12" s="225" customFormat="1">
      <c r="A307" s="472"/>
      <c r="B307" s="464"/>
      <c r="C307" s="234"/>
      <c r="D307" s="235"/>
    </row>
    <row r="308" spans="1:12" s="225" customFormat="1" ht="25.5">
      <c r="A308" s="472"/>
      <c r="B308" s="464"/>
      <c r="C308" s="234" t="s">
        <v>2998</v>
      </c>
      <c r="D308" s="235"/>
    </row>
    <row r="309" spans="1:12" s="225" customFormat="1">
      <c r="A309" s="472"/>
      <c r="B309" s="464"/>
      <c r="C309" s="234"/>
      <c r="D309" s="235"/>
    </row>
    <row r="310" spans="1:12" s="225" customFormat="1">
      <c r="A310" s="472"/>
      <c r="B310" s="464"/>
      <c r="C310" s="234" t="s">
        <v>2912</v>
      </c>
      <c r="D310" s="235"/>
    </row>
    <row r="311" spans="1:12" s="225" customFormat="1" ht="25.5">
      <c r="A311" s="472"/>
      <c r="B311" s="464"/>
      <c r="C311" s="234" t="s">
        <v>61</v>
      </c>
      <c r="D311" s="235"/>
    </row>
    <row r="312" spans="1:12" s="225" customFormat="1">
      <c r="A312" s="472"/>
      <c r="B312" s="464"/>
      <c r="C312" s="234" t="s">
        <v>2913</v>
      </c>
      <c r="D312" s="235"/>
    </row>
    <row r="313" spans="1:12" s="225" customFormat="1">
      <c r="A313" s="472"/>
      <c r="B313" s="464"/>
      <c r="C313" s="234"/>
      <c r="D313" s="235"/>
    </row>
    <row r="314" spans="1:12" s="225" customFormat="1" ht="50.25" customHeight="1">
      <c r="A314" s="472"/>
      <c r="B314" s="464"/>
      <c r="C314" s="197" t="s">
        <v>598</v>
      </c>
      <c r="D314" s="235"/>
      <c r="E314" s="528"/>
      <c r="F314" s="197"/>
      <c r="G314" s="197"/>
      <c r="H314" s="197"/>
      <c r="I314" s="197"/>
      <c r="J314" s="197"/>
      <c r="K314" s="197"/>
      <c r="L314" s="197"/>
    </row>
    <row r="315" spans="1:12" s="225" customFormat="1">
      <c r="A315" s="472"/>
      <c r="B315" s="464"/>
      <c r="C315" s="234"/>
      <c r="D315" s="235"/>
    </row>
    <row r="316" spans="1:12" s="225" customFormat="1" ht="51">
      <c r="A316" s="472"/>
      <c r="B316" s="464"/>
      <c r="C316" s="234" t="s">
        <v>2122</v>
      </c>
      <c r="D316" s="235"/>
    </row>
    <row r="317" spans="1:12" s="225" customFormat="1">
      <c r="A317" s="472"/>
      <c r="B317" s="464"/>
      <c r="C317" s="234"/>
      <c r="D317" s="235"/>
    </row>
    <row r="318" spans="1:12" s="225" customFormat="1" ht="38.25">
      <c r="A318" s="472"/>
      <c r="B318" s="464"/>
      <c r="C318" s="234" t="s">
        <v>2491</v>
      </c>
      <c r="D318" s="235"/>
    </row>
    <row r="319" spans="1:12" s="225" customFormat="1">
      <c r="A319" s="472"/>
      <c r="B319" s="464"/>
      <c r="C319" s="234"/>
      <c r="D319" s="235"/>
    </row>
    <row r="320" spans="1:12" s="225" customFormat="1">
      <c r="A320" s="472"/>
      <c r="B320" s="464"/>
      <c r="C320" s="234" t="s">
        <v>2492</v>
      </c>
      <c r="D320" s="235"/>
    </row>
    <row r="321" spans="1:4" s="225" customFormat="1">
      <c r="A321" s="472"/>
      <c r="B321" s="464"/>
      <c r="C321" s="234"/>
      <c r="D321" s="235"/>
    </row>
    <row r="322" spans="1:4" s="225" customFormat="1" ht="25.5">
      <c r="A322" s="472"/>
      <c r="B322" s="464"/>
      <c r="C322" s="234" t="s">
        <v>2493</v>
      </c>
      <c r="D322" s="235"/>
    </row>
    <row r="323" spans="1:4" s="225" customFormat="1">
      <c r="A323" s="472"/>
      <c r="B323" s="464"/>
      <c r="C323" s="234"/>
      <c r="D323" s="235"/>
    </row>
    <row r="324" spans="1:4" s="225" customFormat="1" ht="25.5">
      <c r="A324" s="472"/>
      <c r="B324" s="464"/>
      <c r="C324" s="263" t="s">
        <v>3473</v>
      </c>
      <c r="D324" s="235"/>
    </row>
    <row r="325" spans="1:4" s="225" customFormat="1">
      <c r="A325" s="472"/>
      <c r="B325" s="464"/>
      <c r="C325" s="234" t="s">
        <v>62</v>
      </c>
      <c r="D325" s="235"/>
    </row>
    <row r="326" spans="1:4" s="225" customFormat="1">
      <c r="A326" s="472"/>
      <c r="B326" s="464"/>
      <c r="C326" s="234"/>
      <c r="D326" s="235"/>
    </row>
    <row r="327" spans="1:4" s="225" customFormat="1" ht="76.5">
      <c r="A327" s="472"/>
      <c r="B327" s="464"/>
      <c r="C327" s="234" t="s">
        <v>2494</v>
      </c>
      <c r="D327" s="235"/>
    </row>
    <row r="328" spans="1:4" s="225" customFormat="1">
      <c r="A328" s="472"/>
      <c r="B328" s="464"/>
      <c r="C328" s="234"/>
      <c r="D328" s="235"/>
    </row>
    <row r="329" spans="1:4" s="225" customFormat="1" ht="25.5">
      <c r="A329" s="472"/>
      <c r="B329" s="464"/>
      <c r="C329" s="234" t="s">
        <v>2495</v>
      </c>
      <c r="D329" s="235"/>
    </row>
    <row r="330" spans="1:4" s="225" customFormat="1">
      <c r="A330" s="472"/>
      <c r="B330" s="464"/>
      <c r="C330" s="234"/>
      <c r="D330" s="235"/>
    </row>
    <row r="331" spans="1:4" s="225" customFormat="1" ht="63.75">
      <c r="A331" s="472"/>
      <c r="B331" s="464"/>
      <c r="C331" s="234" t="s">
        <v>719</v>
      </c>
      <c r="D331" s="235"/>
    </row>
    <row r="332" spans="1:4" s="225" customFormat="1">
      <c r="A332" s="472"/>
      <c r="B332" s="464"/>
      <c r="C332" s="234"/>
      <c r="D332" s="235"/>
    </row>
    <row r="333" spans="1:4" s="225" customFormat="1" ht="38.25">
      <c r="A333" s="472"/>
      <c r="B333" s="464"/>
      <c r="C333" s="263" t="s">
        <v>3474</v>
      </c>
      <c r="D333" s="235"/>
    </row>
    <row r="334" spans="1:4" s="225" customFormat="1">
      <c r="A334" s="472"/>
      <c r="B334" s="464"/>
      <c r="C334" s="234"/>
      <c r="D334" s="235"/>
    </row>
    <row r="335" spans="1:4" s="225" customFormat="1">
      <c r="A335" s="472"/>
      <c r="B335" s="464"/>
      <c r="C335" s="234" t="s">
        <v>1616</v>
      </c>
      <c r="D335" s="235"/>
    </row>
    <row r="336" spans="1:4" s="225" customFormat="1">
      <c r="A336" s="472"/>
      <c r="B336" s="464"/>
      <c r="C336" s="234"/>
      <c r="D336" s="235"/>
    </row>
    <row r="337" spans="1:4" s="225" customFormat="1">
      <c r="A337" s="472"/>
      <c r="B337" s="464"/>
      <c r="C337" s="234" t="s">
        <v>720</v>
      </c>
      <c r="D337" s="235"/>
    </row>
    <row r="338" spans="1:4" s="225" customFormat="1">
      <c r="A338" s="472"/>
      <c r="B338" s="464"/>
      <c r="C338" s="234"/>
      <c r="D338" s="235"/>
    </row>
    <row r="339" spans="1:4" s="225" customFormat="1" ht="25.5">
      <c r="A339" s="472"/>
      <c r="B339" s="464"/>
      <c r="C339" s="234" t="s">
        <v>2314</v>
      </c>
      <c r="D339" s="235"/>
    </row>
    <row r="340" spans="1:4" s="225" customFormat="1">
      <c r="A340" s="472"/>
      <c r="B340" s="464"/>
      <c r="C340" s="234" t="s">
        <v>2315</v>
      </c>
      <c r="D340" s="235"/>
    </row>
    <row r="341" spans="1:4" s="225" customFormat="1">
      <c r="A341" s="472"/>
      <c r="B341" s="464"/>
      <c r="C341" s="234"/>
      <c r="D341" s="235"/>
    </row>
    <row r="342" spans="1:4" s="225" customFormat="1" ht="76.5">
      <c r="A342" s="472"/>
      <c r="B342" s="464"/>
      <c r="C342" s="1221" t="s">
        <v>3706</v>
      </c>
      <c r="D342" s="235"/>
    </row>
    <row r="343" spans="1:4" s="225" customFormat="1">
      <c r="A343" s="472"/>
      <c r="B343" s="464"/>
      <c r="C343" s="234"/>
      <c r="D343" s="235"/>
    </row>
    <row r="344" spans="1:4" s="225" customFormat="1">
      <c r="A344" s="472"/>
      <c r="B344" s="464"/>
      <c r="C344" s="234" t="s">
        <v>721</v>
      </c>
      <c r="D344" s="235"/>
    </row>
    <row r="345" spans="1:4" s="225" customFormat="1">
      <c r="A345" s="472"/>
      <c r="B345" s="464"/>
      <c r="C345" s="234"/>
      <c r="D345" s="235"/>
    </row>
    <row r="346" spans="1:4" s="225" customFormat="1" ht="51">
      <c r="A346" s="472"/>
      <c r="B346" s="464"/>
      <c r="C346" s="234" t="s">
        <v>722</v>
      </c>
      <c r="D346" s="235"/>
    </row>
    <row r="347" spans="1:4" s="225" customFormat="1">
      <c r="A347" s="472"/>
      <c r="B347" s="464"/>
      <c r="C347" s="234"/>
      <c r="D347" s="235"/>
    </row>
    <row r="348" spans="1:4" s="225" customFormat="1" ht="25.5">
      <c r="A348" s="472"/>
      <c r="B348" s="464"/>
      <c r="C348" s="234" t="s">
        <v>723</v>
      </c>
      <c r="D348" s="235"/>
    </row>
    <row r="349" spans="1:4" s="225" customFormat="1">
      <c r="A349" s="472"/>
      <c r="B349" s="464"/>
      <c r="C349" s="234"/>
      <c r="D349" s="235"/>
    </row>
    <row r="350" spans="1:4" s="225" customFormat="1">
      <c r="A350" s="472"/>
      <c r="B350" s="464"/>
      <c r="C350" s="234" t="s">
        <v>724</v>
      </c>
      <c r="D350" s="235"/>
    </row>
    <row r="351" spans="1:4" s="225" customFormat="1">
      <c r="A351" s="472"/>
      <c r="B351" s="464"/>
      <c r="C351" s="234"/>
      <c r="D351" s="235"/>
    </row>
    <row r="352" spans="1:4" s="225" customFormat="1" ht="25.5">
      <c r="A352" s="472"/>
      <c r="B352" s="464"/>
      <c r="C352" s="263" t="s">
        <v>3475</v>
      </c>
      <c r="D352" s="235"/>
    </row>
    <row r="353" spans="1:4" s="225" customFormat="1">
      <c r="A353" s="472"/>
      <c r="B353" s="464"/>
      <c r="C353" s="234" t="s">
        <v>2316</v>
      </c>
      <c r="D353" s="235"/>
    </row>
    <row r="354" spans="1:4" s="225" customFormat="1" ht="25.5">
      <c r="A354" s="472"/>
      <c r="B354" s="464"/>
      <c r="C354" s="234" t="s">
        <v>2317</v>
      </c>
      <c r="D354" s="235"/>
    </row>
    <row r="355" spans="1:4" s="225" customFormat="1">
      <c r="A355" s="472"/>
      <c r="B355" s="464"/>
      <c r="C355" s="234"/>
      <c r="D355" s="235"/>
    </row>
    <row r="356" spans="1:4" s="225" customFormat="1">
      <c r="A356" s="472"/>
      <c r="B356" s="464"/>
      <c r="C356" s="234" t="s">
        <v>725</v>
      </c>
      <c r="D356" s="235"/>
    </row>
    <row r="357" spans="1:4" s="225" customFormat="1">
      <c r="A357" s="472"/>
      <c r="B357" s="464"/>
      <c r="C357" s="234"/>
      <c r="D357" s="235"/>
    </row>
    <row r="358" spans="1:4" s="225" customFormat="1">
      <c r="A358" s="472"/>
      <c r="B358" s="464"/>
      <c r="C358" s="234" t="s">
        <v>726</v>
      </c>
      <c r="D358" s="235"/>
    </row>
    <row r="359" spans="1:4" s="225" customFormat="1">
      <c r="A359" s="472"/>
      <c r="B359" s="464"/>
      <c r="C359" s="234"/>
      <c r="D359" s="235"/>
    </row>
    <row r="360" spans="1:4" s="225" customFormat="1" ht="25.5">
      <c r="A360" s="472"/>
      <c r="B360" s="464"/>
      <c r="C360" s="234" t="s">
        <v>2318</v>
      </c>
      <c r="D360" s="235"/>
    </row>
    <row r="361" spans="1:4" s="225" customFormat="1">
      <c r="A361" s="472"/>
      <c r="B361" s="464"/>
      <c r="C361" s="234" t="s">
        <v>2319</v>
      </c>
      <c r="D361" s="235"/>
    </row>
    <row r="362" spans="1:4" s="225" customFormat="1" ht="25.5">
      <c r="A362" s="472"/>
      <c r="B362" s="464"/>
      <c r="C362" s="234" t="s">
        <v>2317</v>
      </c>
      <c r="D362" s="235"/>
    </row>
    <row r="363" spans="1:4" s="225" customFormat="1">
      <c r="A363" s="472"/>
      <c r="B363" s="464"/>
      <c r="C363" s="234"/>
      <c r="D363" s="235"/>
    </row>
    <row r="364" spans="1:4" s="225" customFormat="1" ht="25.5">
      <c r="A364" s="472"/>
      <c r="B364" s="464"/>
      <c r="C364" s="234" t="s">
        <v>2483</v>
      </c>
      <c r="D364" s="235"/>
    </row>
    <row r="365" spans="1:4" s="225" customFormat="1">
      <c r="A365" s="472"/>
      <c r="B365" s="464"/>
      <c r="C365" s="234"/>
      <c r="D365" s="235"/>
    </row>
    <row r="366" spans="1:4" s="225" customFormat="1" ht="38.25">
      <c r="A366" s="472"/>
      <c r="B366" s="464"/>
      <c r="C366" s="234" t="s">
        <v>2484</v>
      </c>
      <c r="D366" s="235"/>
    </row>
    <row r="367" spans="1:4" s="225" customFormat="1">
      <c r="A367" s="472"/>
      <c r="B367" s="464"/>
      <c r="C367" s="234"/>
      <c r="D367" s="235"/>
    </row>
    <row r="368" spans="1:4" s="225" customFormat="1" ht="25.5">
      <c r="A368" s="472"/>
      <c r="B368" s="464"/>
      <c r="C368" s="234" t="s">
        <v>2485</v>
      </c>
      <c r="D368" s="235"/>
    </row>
    <row r="369" spans="1:4" s="225" customFormat="1">
      <c r="A369" s="472"/>
      <c r="B369" s="464"/>
      <c r="C369" s="234"/>
      <c r="D369" s="235"/>
    </row>
    <row r="370" spans="1:4" s="225" customFormat="1">
      <c r="A370" s="472"/>
      <c r="B370" s="464"/>
      <c r="C370" s="234" t="s">
        <v>2486</v>
      </c>
      <c r="D370" s="235"/>
    </row>
    <row r="371" spans="1:4" s="225" customFormat="1">
      <c r="A371" s="472"/>
      <c r="B371" s="464"/>
      <c r="C371" s="234"/>
      <c r="D371" s="235"/>
    </row>
    <row r="372" spans="1:4" s="225" customFormat="1">
      <c r="A372" s="472"/>
      <c r="B372" s="464"/>
      <c r="C372" s="234" t="s">
        <v>2487</v>
      </c>
      <c r="D372" s="235"/>
    </row>
    <row r="373" spans="1:4" s="225" customFormat="1">
      <c r="A373" s="472"/>
      <c r="B373" s="464"/>
      <c r="C373" s="234"/>
      <c r="D373" s="235"/>
    </row>
    <row r="374" spans="1:4" s="225" customFormat="1" ht="25.5">
      <c r="A374" s="472"/>
      <c r="B374" s="464"/>
      <c r="C374" s="234" t="s">
        <v>2314</v>
      </c>
      <c r="D374" s="235"/>
    </row>
    <row r="375" spans="1:4" s="225" customFormat="1">
      <c r="A375" s="472"/>
      <c r="B375" s="464"/>
      <c r="C375" s="234" t="s">
        <v>62</v>
      </c>
      <c r="D375" s="235"/>
    </row>
    <row r="376" spans="1:4" s="225" customFormat="1">
      <c r="A376" s="472"/>
      <c r="B376" s="464"/>
      <c r="C376" s="234"/>
      <c r="D376" s="235"/>
    </row>
    <row r="377" spans="1:4" s="225" customFormat="1">
      <c r="A377" s="472"/>
      <c r="B377" s="464"/>
      <c r="C377" s="234" t="s">
        <v>2488</v>
      </c>
      <c r="D377" s="235"/>
    </row>
    <row r="378" spans="1:4" s="225" customFormat="1">
      <c r="A378" s="472"/>
      <c r="B378" s="464"/>
      <c r="C378" s="234"/>
      <c r="D378" s="235"/>
    </row>
    <row r="379" spans="1:4" s="225" customFormat="1" ht="25.5">
      <c r="A379" s="472"/>
      <c r="B379" s="464"/>
      <c r="C379" s="234" t="s">
        <v>2489</v>
      </c>
      <c r="D379" s="235"/>
    </row>
    <row r="380" spans="1:4" s="225" customFormat="1">
      <c r="A380" s="472"/>
      <c r="B380" s="464"/>
      <c r="C380" s="234"/>
      <c r="D380" s="235"/>
    </row>
    <row r="381" spans="1:4" s="225" customFormat="1" ht="25.5">
      <c r="A381" s="472"/>
      <c r="B381" s="464"/>
      <c r="C381" s="234" t="s">
        <v>61</v>
      </c>
      <c r="D381" s="235"/>
    </row>
    <row r="382" spans="1:4" s="225" customFormat="1">
      <c r="A382" s="472"/>
      <c r="B382" s="464"/>
      <c r="C382" s="234" t="s">
        <v>2320</v>
      </c>
      <c r="D382" s="235"/>
    </row>
    <row r="383" spans="1:4" s="225" customFormat="1">
      <c r="A383" s="472"/>
      <c r="B383" s="464"/>
      <c r="C383" s="234"/>
      <c r="D383" s="235"/>
    </row>
    <row r="384" spans="1:4" s="225" customFormat="1" ht="25.5">
      <c r="A384" s="472"/>
      <c r="B384" s="464"/>
      <c r="C384" s="234" t="s">
        <v>2490</v>
      </c>
      <c r="D384" s="235"/>
    </row>
    <row r="385" spans="1:4" s="225" customFormat="1">
      <c r="A385" s="472"/>
      <c r="B385" s="464"/>
      <c r="C385" s="234"/>
      <c r="D385" s="235"/>
    </row>
    <row r="386" spans="1:4" s="225" customFormat="1" ht="25.5">
      <c r="A386" s="472"/>
      <c r="B386" s="464"/>
      <c r="C386" s="234" t="s">
        <v>2191</v>
      </c>
      <c r="D386" s="235"/>
    </row>
    <row r="387" spans="1:4" s="225" customFormat="1">
      <c r="A387" s="472"/>
      <c r="B387" s="464"/>
      <c r="C387" s="234"/>
      <c r="D387" s="235"/>
    </row>
    <row r="388" spans="1:4" s="225" customFormat="1" ht="25.5">
      <c r="A388" s="472"/>
      <c r="B388" s="464"/>
      <c r="C388" s="234" t="s">
        <v>2192</v>
      </c>
      <c r="D388" s="235"/>
    </row>
    <row r="389" spans="1:4" s="225" customFormat="1">
      <c r="A389" s="472"/>
      <c r="B389" s="464"/>
      <c r="C389" s="234"/>
      <c r="D389" s="235"/>
    </row>
    <row r="390" spans="1:4" s="225" customFormat="1">
      <c r="A390" s="472"/>
      <c r="B390" s="464"/>
      <c r="C390" s="234" t="s">
        <v>2193</v>
      </c>
      <c r="D390" s="235"/>
    </row>
    <row r="391" spans="1:4" s="225" customFormat="1">
      <c r="A391" s="472"/>
      <c r="B391" s="464"/>
      <c r="C391" s="234"/>
      <c r="D391" s="235"/>
    </row>
    <row r="392" spans="1:4" s="225" customFormat="1">
      <c r="A392" s="472"/>
      <c r="B392" s="464"/>
      <c r="C392" s="234" t="s">
        <v>2194</v>
      </c>
      <c r="D392" s="235"/>
    </row>
    <row r="393" spans="1:4" s="225" customFormat="1">
      <c r="A393" s="472"/>
      <c r="B393" s="464"/>
      <c r="C393" s="234"/>
      <c r="D393" s="235"/>
    </row>
    <row r="394" spans="1:4" s="225" customFormat="1" ht="51">
      <c r="A394" s="472"/>
      <c r="B394" s="464"/>
      <c r="C394" s="234" t="s">
        <v>3334</v>
      </c>
      <c r="D394" s="235"/>
    </row>
    <row r="395" spans="1:4" s="225" customFormat="1">
      <c r="A395" s="472"/>
      <c r="B395" s="464"/>
      <c r="C395" s="234"/>
      <c r="D395" s="235"/>
    </row>
    <row r="396" spans="1:4" s="225" customFormat="1" ht="25.5">
      <c r="A396" s="472"/>
      <c r="B396" s="464"/>
      <c r="C396" s="234" t="s">
        <v>3335</v>
      </c>
      <c r="D396" s="235"/>
    </row>
    <row r="397" spans="1:4" s="225" customFormat="1">
      <c r="A397" s="472"/>
      <c r="B397" s="464"/>
      <c r="C397" s="234"/>
      <c r="D397" s="235"/>
    </row>
    <row r="398" spans="1:4" s="225" customFormat="1">
      <c r="A398" s="472"/>
      <c r="B398" s="464"/>
      <c r="C398" s="234" t="s">
        <v>1131</v>
      </c>
      <c r="D398" s="235"/>
    </row>
    <row r="399" spans="1:4" s="225" customFormat="1">
      <c r="A399" s="472"/>
      <c r="B399" s="464"/>
      <c r="C399" s="234"/>
      <c r="D399" s="235"/>
    </row>
    <row r="400" spans="1:4" s="225" customFormat="1" ht="25.5">
      <c r="A400" s="472"/>
      <c r="B400" s="464"/>
      <c r="C400" s="234" t="s">
        <v>3336</v>
      </c>
      <c r="D400" s="235"/>
    </row>
    <row r="401" spans="1:4" s="225" customFormat="1">
      <c r="A401" s="472"/>
      <c r="B401" s="464"/>
      <c r="C401" s="234"/>
      <c r="D401" s="235"/>
    </row>
    <row r="402" spans="1:4" s="226" customFormat="1">
      <c r="A402" s="473"/>
      <c r="B402" s="465">
        <v>1.1299999999999999</v>
      </c>
      <c r="C402" s="237" t="s">
        <v>1186</v>
      </c>
      <c r="D402" s="238"/>
    </row>
    <row r="403" spans="1:4" s="225" customFormat="1">
      <c r="A403" s="472"/>
      <c r="B403" s="464"/>
      <c r="C403" s="234"/>
      <c r="D403" s="235"/>
    </row>
    <row r="404" spans="1:4" s="225" customFormat="1" ht="51">
      <c r="A404" s="472"/>
      <c r="B404" s="464"/>
      <c r="C404" s="234" t="s">
        <v>3337</v>
      </c>
      <c r="D404" s="235"/>
    </row>
    <row r="405" spans="1:4" s="225" customFormat="1">
      <c r="A405" s="472"/>
      <c r="B405" s="464"/>
      <c r="C405" s="234"/>
      <c r="D405" s="235"/>
    </row>
    <row r="406" spans="1:4" s="225" customFormat="1" ht="25.5">
      <c r="A406" s="472"/>
      <c r="B406" s="464"/>
      <c r="C406" s="234" t="s">
        <v>2242</v>
      </c>
      <c r="D406" s="235"/>
    </row>
    <row r="407" spans="1:4" s="225" customFormat="1">
      <c r="A407" s="472"/>
      <c r="B407" s="464"/>
      <c r="C407" s="234"/>
      <c r="D407" s="235"/>
    </row>
    <row r="408" spans="1:4" s="225" customFormat="1" ht="25.5">
      <c r="A408" s="472"/>
      <c r="B408" s="464"/>
      <c r="C408" s="1221" t="s">
        <v>3698</v>
      </c>
      <c r="D408" s="235"/>
    </row>
    <row r="409" spans="1:4" s="225" customFormat="1">
      <c r="A409" s="472"/>
      <c r="B409" s="464"/>
      <c r="C409" s="234"/>
      <c r="D409" s="235"/>
    </row>
    <row r="410" spans="1:4" s="225" customFormat="1">
      <c r="A410" s="472"/>
      <c r="B410" s="464"/>
      <c r="C410" s="234"/>
      <c r="D410" s="235"/>
    </row>
    <row r="411" spans="1:4" s="226" customFormat="1">
      <c r="A411" s="473"/>
      <c r="B411" s="465">
        <v>1.1399999999999999</v>
      </c>
      <c r="C411" s="237" t="s">
        <v>1016</v>
      </c>
      <c r="D411" s="238"/>
    </row>
    <row r="412" spans="1:4" s="225" customFormat="1">
      <c r="A412" s="472"/>
      <c r="B412" s="464"/>
      <c r="C412" s="234"/>
      <c r="D412" s="235"/>
    </row>
    <row r="413" spans="1:4" s="225" customFormat="1" ht="51">
      <c r="A413" s="472"/>
      <c r="B413" s="464"/>
      <c r="C413" s="234" t="s">
        <v>2243</v>
      </c>
      <c r="D413" s="235"/>
    </row>
    <row r="414" spans="1:4" s="225" customFormat="1">
      <c r="A414" s="472"/>
      <c r="B414" s="464"/>
      <c r="C414" s="234"/>
      <c r="D414" s="235"/>
    </row>
    <row r="415" spans="1:4" s="226" customFormat="1">
      <c r="A415" s="473"/>
      <c r="B415" s="465">
        <v>1.1499999999999999</v>
      </c>
      <c r="C415" s="237" t="s">
        <v>3451</v>
      </c>
      <c r="D415" s="238"/>
    </row>
    <row r="416" spans="1:4" s="225" customFormat="1">
      <c r="A416" s="472"/>
      <c r="B416" s="464"/>
      <c r="C416" s="234"/>
      <c r="D416" s="235"/>
    </row>
    <row r="417" spans="1:4" s="225" customFormat="1" ht="89.25">
      <c r="A417" s="472"/>
      <c r="B417" s="464"/>
      <c r="C417" s="234" t="s">
        <v>2244</v>
      </c>
      <c r="D417" s="235"/>
    </row>
    <row r="418" spans="1:4" s="225" customFormat="1">
      <c r="A418" s="472"/>
      <c r="B418" s="464"/>
      <c r="C418" s="234"/>
      <c r="D418" s="235"/>
    </row>
    <row r="419" spans="1:4" s="226" customFormat="1">
      <c r="A419" s="473"/>
      <c r="B419" s="465">
        <v>1.1599999999999999</v>
      </c>
      <c r="C419" s="237" t="s">
        <v>2321</v>
      </c>
      <c r="D419" s="238"/>
    </row>
    <row r="420" spans="1:4" s="225" customFormat="1">
      <c r="A420" s="472"/>
      <c r="B420" s="464"/>
      <c r="C420" s="234"/>
      <c r="D420" s="235"/>
    </row>
    <row r="421" spans="1:4" s="225" customFormat="1" ht="51">
      <c r="A421" s="472"/>
      <c r="B421" s="464"/>
      <c r="C421" s="234" t="s">
        <v>1969</v>
      </c>
      <c r="D421" s="235"/>
    </row>
    <row r="422" spans="1:4" s="225" customFormat="1">
      <c r="A422" s="472"/>
      <c r="B422" s="464"/>
      <c r="C422" s="234"/>
      <c r="D422" s="235"/>
    </row>
    <row r="423" spans="1:4" s="226" customFormat="1">
      <c r="A423" s="473"/>
      <c r="B423" s="465">
        <v>1.17</v>
      </c>
      <c r="C423" s="237" t="s">
        <v>3439</v>
      </c>
      <c r="D423" s="238"/>
    </row>
    <row r="424" spans="1:4" s="225" customFormat="1">
      <c r="A424" s="472"/>
      <c r="B424" s="464"/>
      <c r="C424" s="234"/>
      <c r="D424" s="235"/>
    </row>
    <row r="425" spans="1:4" s="225" customFormat="1" ht="38.25">
      <c r="A425" s="472"/>
      <c r="B425" s="464"/>
      <c r="C425" s="234" t="s">
        <v>1970</v>
      </c>
      <c r="D425" s="235"/>
    </row>
    <row r="426" spans="1:4" s="225" customFormat="1">
      <c r="A426" s="472"/>
      <c r="B426" s="464"/>
      <c r="C426" s="234"/>
      <c r="D426" s="235"/>
    </row>
    <row r="427" spans="1:4" s="225" customFormat="1" ht="51">
      <c r="A427" s="472"/>
      <c r="B427" s="464"/>
      <c r="C427" s="234" t="s">
        <v>3397</v>
      </c>
      <c r="D427" s="235"/>
    </row>
    <row r="428" spans="1:4" s="225" customFormat="1">
      <c r="A428" s="472"/>
      <c r="B428" s="464"/>
      <c r="C428" s="234"/>
      <c r="D428" s="235"/>
    </row>
    <row r="429" spans="1:4" s="226" customFormat="1">
      <c r="A429" s="473"/>
      <c r="B429" s="465">
        <v>1.18</v>
      </c>
      <c r="C429" s="237" t="s">
        <v>2322</v>
      </c>
      <c r="D429" s="238"/>
    </row>
    <row r="430" spans="1:4" s="225" customFormat="1">
      <c r="A430" s="472"/>
      <c r="B430" s="464"/>
      <c r="C430" s="234"/>
      <c r="D430" s="235"/>
    </row>
    <row r="431" spans="1:4" s="225" customFormat="1" ht="51">
      <c r="A431" s="472"/>
      <c r="B431" s="464"/>
      <c r="C431" s="234" t="s">
        <v>3398</v>
      </c>
      <c r="D431" s="235"/>
    </row>
    <row r="432" spans="1:4" s="225" customFormat="1">
      <c r="A432" s="472"/>
      <c r="B432" s="464"/>
      <c r="C432" s="234"/>
      <c r="D432" s="235"/>
    </row>
    <row r="433" spans="1:4" s="225" customFormat="1" ht="38.25">
      <c r="A433" s="472"/>
      <c r="B433" s="464"/>
      <c r="C433" s="234" t="s">
        <v>3399</v>
      </c>
      <c r="D433" s="235"/>
    </row>
    <row r="434" spans="1:4" s="225" customFormat="1">
      <c r="A434" s="472"/>
      <c r="B434" s="464"/>
      <c r="C434" s="234"/>
      <c r="D434" s="235"/>
    </row>
    <row r="435" spans="1:4" s="226" customFormat="1">
      <c r="A435" s="473"/>
      <c r="B435" s="465">
        <v>1.19</v>
      </c>
      <c r="C435" s="237" t="s">
        <v>2323</v>
      </c>
      <c r="D435" s="238"/>
    </row>
    <row r="436" spans="1:4" s="225" customFormat="1">
      <c r="A436" s="472"/>
      <c r="B436" s="464"/>
      <c r="C436" s="234"/>
      <c r="D436" s="235"/>
    </row>
    <row r="437" spans="1:4" s="225" customFormat="1" ht="89.25">
      <c r="A437" s="472"/>
      <c r="B437" s="464"/>
      <c r="C437" s="234" t="s">
        <v>3400</v>
      </c>
      <c r="D437" s="235"/>
    </row>
    <row r="438" spans="1:4" s="225" customFormat="1">
      <c r="A438" s="472"/>
      <c r="B438" s="464"/>
      <c r="C438" s="234"/>
      <c r="D438" s="235"/>
    </row>
    <row r="439" spans="1:4" s="226" customFormat="1">
      <c r="A439" s="473"/>
      <c r="B439" s="465">
        <v>1.2</v>
      </c>
      <c r="C439" s="237" t="s">
        <v>2324</v>
      </c>
      <c r="D439" s="238"/>
    </row>
    <row r="440" spans="1:4" s="225" customFormat="1">
      <c r="A440" s="472"/>
      <c r="B440" s="464"/>
      <c r="C440" s="234"/>
      <c r="D440" s="235"/>
    </row>
    <row r="441" spans="1:4" s="225" customFormat="1" ht="63.75">
      <c r="A441" s="472"/>
      <c r="B441" s="464"/>
      <c r="C441" s="234" t="s">
        <v>717</v>
      </c>
      <c r="D441" s="235"/>
    </row>
    <row r="442" spans="1:4" s="225" customFormat="1">
      <c r="A442" s="472"/>
      <c r="B442" s="464"/>
      <c r="C442" s="234"/>
      <c r="D442" s="235"/>
    </row>
    <row r="443" spans="1:4" s="226" customFormat="1">
      <c r="A443" s="473"/>
      <c r="B443" s="465">
        <v>1.21</v>
      </c>
      <c r="C443" s="237" t="s">
        <v>2325</v>
      </c>
      <c r="D443" s="238"/>
    </row>
    <row r="444" spans="1:4" s="225" customFormat="1">
      <c r="A444" s="472"/>
      <c r="B444" s="464"/>
      <c r="C444" s="234"/>
      <c r="D444" s="235"/>
    </row>
    <row r="445" spans="1:4" s="225" customFormat="1" ht="51">
      <c r="A445" s="472"/>
      <c r="B445" s="464"/>
      <c r="C445" s="234" t="s">
        <v>718</v>
      </c>
      <c r="D445" s="235"/>
    </row>
    <row r="446" spans="1:4" s="225" customFormat="1">
      <c r="A446" s="472"/>
      <c r="B446" s="464"/>
      <c r="C446" s="234"/>
      <c r="D446" s="235"/>
    </row>
    <row r="447" spans="1:4" s="226" customFormat="1">
      <c r="A447" s="473"/>
      <c r="B447" s="465">
        <v>1.22</v>
      </c>
      <c r="C447" s="237" t="s">
        <v>2326</v>
      </c>
      <c r="D447" s="238"/>
    </row>
    <row r="448" spans="1:4" s="225" customFormat="1">
      <c r="A448" s="472"/>
      <c r="B448" s="464"/>
      <c r="C448" s="234"/>
      <c r="D448" s="235"/>
    </row>
    <row r="449" spans="1:4" s="225" customFormat="1" ht="25.5">
      <c r="A449" s="472"/>
      <c r="B449" s="464"/>
      <c r="C449" s="234" t="s">
        <v>3470</v>
      </c>
      <c r="D449" s="235"/>
    </row>
    <row r="450" spans="1:4" s="225" customFormat="1">
      <c r="A450" s="472"/>
      <c r="B450" s="464"/>
      <c r="C450" s="234"/>
      <c r="D450" s="235"/>
    </row>
    <row r="451" spans="1:4" s="225" customFormat="1">
      <c r="A451" s="472"/>
      <c r="B451" s="464"/>
      <c r="C451" s="234" t="s">
        <v>2874</v>
      </c>
      <c r="D451" s="235"/>
    </row>
    <row r="452" spans="1:4" s="225" customFormat="1">
      <c r="A452" s="472"/>
      <c r="B452" s="464"/>
      <c r="C452" s="234" t="s">
        <v>2875</v>
      </c>
      <c r="D452" s="235"/>
    </row>
    <row r="453" spans="1:4" s="225" customFormat="1">
      <c r="A453" s="472"/>
      <c r="B453" s="464"/>
      <c r="C453" s="234" t="s">
        <v>2876</v>
      </c>
      <c r="D453" s="235"/>
    </row>
    <row r="454" spans="1:4" s="225" customFormat="1">
      <c r="A454" s="472"/>
      <c r="B454" s="464"/>
      <c r="C454" s="234" t="s">
        <v>2877</v>
      </c>
      <c r="D454" s="235"/>
    </row>
    <row r="455" spans="1:4" s="225" customFormat="1">
      <c r="A455" s="472"/>
      <c r="B455" s="464"/>
      <c r="C455" s="234"/>
      <c r="D455" s="235"/>
    </row>
    <row r="456" spans="1:4" s="225" customFormat="1" ht="38.25">
      <c r="A456" s="472"/>
      <c r="B456" s="464"/>
      <c r="C456" s="234" t="s">
        <v>3471</v>
      </c>
      <c r="D456" s="235"/>
    </row>
    <row r="457" spans="1:4" s="225" customFormat="1">
      <c r="A457" s="472"/>
      <c r="B457" s="464"/>
      <c r="C457" s="234"/>
      <c r="D457" s="235"/>
    </row>
    <row r="458" spans="1:4" s="225" customFormat="1">
      <c r="A458" s="472"/>
      <c r="B458" s="464"/>
      <c r="C458" s="234" t="s">
        <v>2878</v>
      </c>
      <c r="D458" s="235"/>
    </row>
    <row r="459" spans="1:4" s="225" customFormat="1" ht="25.5">
      <c r="A459" s="472"/>
      <c r="B459" s="464"/>
      <c r="C459" s="240" t="s">
        <v>3472</v>
      </c>
      <c r="D459" s="235"/>
    </row>
    <row r="460" spans="1:4" s="225" customFormat="1" ht="57.75" customHeight="1">
      <c r="A460" s="472"/>
      <c r="B460" s="464"/>
      <c r="C460" s="240" t="s">
        <v>2190</v>
      </c>
      <c r="D460" s="235"/>
    </row>
    <row r="461" spans="1:4" s="225" customFormat="1">
      <c r="A461" s="472"/>
      <c r="B461" s="464"/>
      <c r="C461" s="234"/>
      <c r="D461" s="235"/>
    </row>
    <row r="462" spans="1:4" s="225" customFormat="1">
      <c r="A462" s="472"/>
      <c r="B462" s="464"/>
      <c r="C462" s="234" t="s">
        <v>2879</v>
      </c>
      <c r="D462" s="235"/>
    </row>
    <row r="463" spans="1:4" s="225" customFormat="1" ht="63.75">
      <c r="A463" s="472"/>
      <c r="B463" s="464"/>
      <c r="C463" s="240" t="s">
        <v>3478</v>
      </c>
      <c r="D463" s="235"/>
    </row>
    <row r="464" spans="1:4" s="225" customFormat="1" ht="25.5">
      <c r="A464" s="472"/>
      <c r="B464" s="464"/>
      <c r="C464" s="240" t="s">
        <v>3479</v>
      </c>
      <c r="D464" s="235"/>
    </row>
    <row r="465" spans="1:4" s="225" customFormat="1">
      <c r="A465" s="472"/>
      <c r="B465" s="464"/>
      <c r="C465" s="234"/>
      <c r="D465" s="235"/>
    </row>
    <row r="466" spans="1:4" s="226" customFormat="1">
      <c r="A466" s="473"/>
      <c r="B466" s="465">
        <v>1.23</v>
      </c>
      <c r="C466" s="237" t="s">
        <v>2328</v>
      </c>
      <c r="D466" s="238"/>
    </row>
    <row r="467" spans="1:4" s="225" customFormat="1">
      <c r="A467" s="472"/>
      <c r="B467" s="464"/>
      <c r="C467" s="234"/>
      <c r="D467" s="235"/>
    </row>
    <row r="468" spans="1:4" s="225" customFormat="1" ht="25.5">
      <c r="A468" s="472"/>
      <c r="B468" s="464"/>
      <c r="C468" s="234" t="s">
        <v>3480</v>
      </c>
      <c r="D468" s="235"/>
    </row>
    <row r="469" spans="1:4" s="225" customFormat="1">
      <c r="A469" s="472"/>
      <c r="B469" s="464"/>
      <c r="C469" s="234"/>
      <c r="D469" s="235"/>
    </row>
    <row r="470" spans="1:4" s="226" customFormat="1">
      <c r="A470" s="473"/>
      <c r="B470" s="465">
        <v>1.24</v>
      </c>
      <c r="C470" s="237" t="s">
        <v>2327</v>
      </c>
      <c r="D470" s="238"/>
    </row>
    <row r="471" spans="1:4" s="225" customFormat="1">
      <c r="A471" s="472"/>
      <c r="B471" s="464"/>
      <c r="C471" s="234"/>
      <c r="D471" s="235"/>
    </row>
    <row r="472" spans="1:4" s="225" customFormat="1" ht="69" customHeight="1">
      <c r="A472" s="472"/>
      <c r="B472" s="464"/>
      <c r="C472" s="263" t="s">
        <v>599</v>
      </c>
      <c r="D472" s="235"/>
    </row>
    <row r="473" spans="1:4" s="225" customFormat="1">
      <c r="A473" s="472"/>
      <c r="B473" s="464"/>
      <c r="C473" s="234"/>
      <c r="D473" s="235"/>
    </row>
    <row r="474" spans="1:4" s="226" customFormat="1">
      <c r="A474" s="473"/>
      <c r="B474" s="465">
        <v>1.25</v>
      </c>
      <c r="C474" s="237" t="s">
        <v>2329</v>
      </c>
      <c r="D474" s="238"/>
    </row>
    <row r="475" spans="1:4" s="225" customFormat="1">
      <c r="A475" s="472"/>
      <c r="B475" s="464"/>
      <c r="C475" s="234"/>
      <c r="D475" s="235"/>
    </row>
    <row r="476" spans="1:4" s="225" customFormat="1" ht="63.75">
      <c r="A476" s="472"/>
      <c r="B476" s="464"/>
      <c r="C476" s="234" t="s">
        <v>3481</v>
      </c>
      <c r="D476" s="235"/>
    </row>
    <row r="477" spans="1:4" s="225" customFormat="1">
      <c r="A477" s="472"/>
      <c r="B477" s="464"/>
      <c r="C477" s="234"/>
      <c r="D477" s="235"/>
    </row>
    <row r="478" spans="1:4" s="226" customFormat="1">
      <c r="A478" s="473"/>
      <c r="B478" s="465">
        <v>1.26</v>
      </c>
      <c r="C478" s="237" t="s">
        <v>2330</v>
      </c>
      <c r="D478" s="238"/>
    </row>
    <row r="479" spans="1:4" s="225" customFormat="1">
      <c r="A479" s="472"/>
      <c r="B479" s="464"/>
      <c r="C479" s="234"/>
      <c r="D479" s="235"/>
    </row>
    <row r="480" spans="1:4" s="225" customFormat="1">
      <c r="A480" s="472"/>
      <c r="B480" s="464"/>
      <c r="C480" s="234" t="s">
        <v>53</v>
      </c>
      <c r="D480" s="235"/>
    </row>
    <row r="481" spans="1:4" s="225" customFormat="1">
      <c r="A481" s="472"/>
      <c r="B481" s="464"/>
      <c r="C481" s="234"/>
      <c r="D481" s="235"/>
    </row>
    <row r="482" spans="1:4" s="226" customFormat="1">
      <c r="A482" s="473"/>
      <c r="B482" s="465">
        <v>1.27</v>
      </c>
      <c r="C482" s="237" t="s">
        <v>2331</v>
      </c>
      <c r="D482" s="238"/>
    </row>
    <row r="483" spans="1:4" s="225" customFormat="1">
      <c r="A483" s="472"/>
      <c r="B483" s="464"/>
      <c r="C483" s="234"/>
      <c r="D483" s="235"/>
    </row>
    <row r="484" spans="1:4" s="225" customFormat="1" ht="25.5">
      <c r="A484" s="474"/>
      <c r="B484" s="466"/>
      <c r="C484" s="405" t="s">
        <v>2393</v>
      </c>
      <c r="D484" s="239"/>
    </row>
    <row r="485" spans="1:4" s="225" customFormat="1">
      <c r="A485" s="1225"/>
      <c r="B485" s="464"/>
      <c r="C485" s="263"/>
      <c r="D485" s="1226"/>
    </row>
    <row r="486" spans="1:4" s="225" customFormat="1">
      <c r="A486" s="1225"/>
      <c r="B486" s="465">
        <v>1.28</v>
      </c>
      <c r="C486" s="237" t="s">
        <v>3705</v>
      </c>
      <c r="D486" s="1226"/>
    </row>
    <row r="487" spans="1:4" s="225" customFormat="1">
      <c r="A487" s="1225"/>
      <c r="B487" s="464"/>
      <c r="C487" s="263"/>
      <c r="D487" s="1226"/>
    </row>
    <row r="488" spans="1:4" s="225" customFormat="1" ht="38.25">
      <c r="A488" s="1225"/>
      <c r="C488" s="1221" t="s">
        <v>3704</v>
      </c>
      <c r="D488" s="1226"/>
    </row>
    <row r="489" spans="1:4" s="225" customFormat="1">
      <c r="A489" s="1225"/>
      <c r="B489" s="464"/>
      <c r="C489" s="263"/>
      <c r="D489" s="1226"/>
    </row>
    <row r="490" spans="1:4" s="225" customFormat="1">
      <c r="A490" s="1225"/>
      <c r="B490" s="464"/>
      <c r="C490" s="263"/>
      <c r="D490" s="1226"/>
    </row>
    <row r="491" spans="1:4" s="225" customFormat="1">
      <c r="A491" s="1225"/>
      <c r="B491" s="464"/>
      <c r="C491" s="263"/>
      <c r="D491" s="1226"/>
    </row>
    <row r="492" spans="1:4" s="225" customFormat="1">
      <c r="A492" s="476"/>
      <c r="B492" s="468"/>
      <c r="C492" s="224"/>
    </row>
    <row r="493" spans="1:4" s="225" customFormat="1">
      <c r="A493" s="476"/>
      <c r="B493" s="468"/>
      <c r="C493" s="224"/>
    </row>
    <row r="494" spans="1:4" s="225" customFormat="1">
      <c r="A494" s="476"/>
      <c r="B494" s="468"/>
      <c r="C494" s="224"/>
    </row>
    <row r="495" spans="1:4" s="225" customFormat="1">
      <c r="A495" s="476"/>
      <c r="B495" s="468"/>
      <c r="C495" s="224"/>
    </row>
    <row r="496" spans="1:4" s="225" customFormat="1">
      <c r="A496" s="476"/>
      <c r="B496" s="468"/>
      <c r="C496" s="224"/>
    </row>
    <row r="497" spans="1:3" s="225" customFormat="1">
      <c r="A497" s="476"/>
      <c r="B497" s="468"/>
      <c r="C497" s="224"/>
    </row>
    <row r="498" spans="1:3" s="225" customFormat="1">
      <c r="A498" s="476"/>
      <c r="B498" s="468"/>
      <c r="C498" s="224"/>
    </row>
    <row r="499" spans="1:3" s="225" customFormat="1">
      <c r="A499" s="476"/>
      <c r="B499" s="468"/>
      <c r="C499" s="224"/>
    </row>
    <row r="500" spans="1:3" s="225" customFormat="1">
      <c r="A500" s="476"/>
      <c r="B500" s="468"/>
      <c r="C500" s="224"/>
    </row>
    <row r="501" spans="1:3" s="225" customFormat="1">
      <c r="A501" s="476"/>
      <c r="B501" s="468"/>
      <c r="C501" s="224"/>
    </row>
    <row r="502" spans="1:3" s="225" customFormat="1">
      <c r="A502" s="476"/>
      <c r="B502" s="468"/>
      <c r="C502" s="224"/>
    </row>
    <row r="503" spans="1:3" s="225" customFormat="1">
      <c r="A503" s="476"/>
      <c r="B503" s="468"/>
      <c r="C503" s="224"/>
    </row>
    <row r="504" spans="1:3" s="225" customFormat="1">
      <c r="A504" s="476"/>
      <c r="B504" s="468"/>
      <c r="C504" s="224"/>
    </row>
    <row r="505" spans="1:3" s="225" customFormat="1">
      <c r="A505" s="476"/>
      <c r="B505" s="468"/>
      <c r="C505" s="224"/>
    </row>
    <row r="506" spans="1:3" s="225" customFormat="1">
      <c r="A506" s="476"/>
      <c r="B506" s="468"/>
      <c r="C506" s="224"/>
    </row>
    <row r="507" spans="1:3" s="225" customFormat="1">
      <c r="A507" s="476"/>
      <c r="B507" s="468"/>
      <c r="C507" s="224"/>
    </row>
    <row r="508" spans="1:3" s="225" customFormat="1">
      <c r="A508" s="476"/>
      <c r="B508" s="468"/>
      <c r="C508" s="224"/>
    </row>
    <row r="509" spans="1:3" s="225" customFormat="1">
      <c r="A509" s="476"/>
      <c r="B509" s="468"/>
      <c r="C509" s="224"/>
    </row>
    <row r="510" spans="1:3" s="225" customFormat="1">
      <c r="A510" s="476"/>
      <c r="B510" s="468"/>
      <c r="C510" s="224"/>
    </row>
    <row r="511" spans="1:3" s="225" customFormat="1">
      <c r="A511" s="476"/>
      <c r="B511" s="468"/>
      <c r="C511" s="224"/>
    </row>
    <row r="512" spans="1:3" s="225" customFormat="1">
      <c r="A512" s="476"/>
      <c r="B512" s="468"/>
      <c r="C512" s="224"/>
    </row>
    <row r="513" spans="1:3" s="225" customFormat="1">
      <c r="A513" s="476"/>
      <c r="B513" s="468"/>
      <c r="C513" s="224"/>
    </row>
    <row r="514" spans="1:3" s="225" customFormat="1">
      <c r="A514" s="476"/>
      <c r="B514" s="468"/>
      <c r="C514" s="224"/>
    </row>
    <row r="515" spans="1:3" s="225" customFormat="1">
      <c r="A515" s="476"/>
      <c r="B515" s="468"/>
      <c r="C515" s="224"/>
    </row>
    <row r="516" spans="1:3" s="225" customFormat="1">
      <c r="A516" s="476"/>
      <c r="B516" s="468"/>
      <c r="C516" s="224"/>
    </row>
    <row r="517" spans="1:3" s="225" customFormat="1">
      <c r="A517" s="476"/>
      <c r="B517" s="468"/>
      <c r="C517" s="224"/>
    </row>
    <row r="518" spans="1:3" s="225" customFormat="1">
      <c r="A518" s="476"/>
      <c r="B518" s="468"/>
      <c r="C518" s="224"/>
    </row>
    <row r="519" spans="1:3" s="225" customFormat="1">
      <c r="A519" s="476"/>
      <c r="B519" s="468"/>
      <c r="C519" s="224"/>
    </row>
    <row r="520" spans="1:3" s="225" customFormat="1">
      <c r="A520" s="476"/>
      <c r="B520" s="468"/>
      <c r="C520" s="224"/>
    </row>
    <row r="521" spans="1:3" s="225" customFormat="1">
      <c r="A521" s="476"/>
      <c r="B521" s="468"/>
      <c r="C521" s="224"/>
    </row>
    <row r="522" spans="1:3" s="225" customFormat="1">
      <c r="A522" s="476"/>
      <c r="B522" s="468"/>
      <c r="C522" s="224"/>
    </row>
    <row r="523" spans="1:3" s="225" customFormat="1">
      <c r="A523" s="476"/>
      <c r="B523" s="468"/>
      <c r="C523" s="224"/>
    </row>
    <row r="524" spans="1:3" s="225" customFormat="1">
      <c r="A524" s="476"/>
      <c r="B524" s="468"/>
      <c r="C524" s="224"/>
    </row>
    <row r="525" spans="1:3" s="225" customFormat="1">
      <c r="A525" s="476"/>
      <c r="B525" s="468"/>
      <c r="C525" s="224"/>
    </row>
    <row r="526" spans="1:3" s="225" customFormat="1">
      <c r="A526" s="476"/>
      <c r="B526" s="468"/>
      <c r="C526" s="224"/>
    </row>
    <row r="527" spans="1:3" s="225" customFormat="1">
      <c r="A527" s="476"/>
      <c r="B527" s="468"/>
      <c r="C527" s="224"/>
    </row>
    <row r="528" spans="1:3" s="225" customFormat="1">
      <c r="A528" s="476"/>
      <c r="B528" s="468"/>
      <c r="C528" s="224"/>
    </row>
    <row r="529" spans="1:3" s="225" customFormat="1">
      <c r="A529" s="476"/>
      <c r="B529" s="468"/>
      <c r="C529" s="224"/>
    </row>
    <row r="530" spans="1:3" s="225" customFormat="1">
      <c r="A530" s="476"/>
      <c r="B530" s="468"/>
      <c r="C530" s="224"/>
    </row>
    <row r="531" spans="1:3" s="225" customFormat="1">
      <c r="A531" s="476"/>
      <c r="B531" s="468"/>
      <c r="C531" s="224"/>
    </row>
    <row r="532" spans="1:3" s="225" customFormat="1">
      <c r="A532" s="476"/>
      <c r="B532" s="468"/>
      <c r="C532" s="224"/>
    </row>
    <row r="533" spans="1:3" s="225" customFormat="1">
      <c r="A533" s="476"/>
      <c r="B533" s="468"/>
      <c r="C533" s="612" t="s">
        <v>1455</v>
      </c>
    </row>
    <row r="534" spans="1:3" s="225" customFormat="1">
      <c r="A534" s="476"/>
      <c r="B534" s="468"/>
      <c r="C534" s="224"/>
    </row>
    <row r="535" spans="1:3" s="225" customFormat="1">
      <c r="A535" s="476"/>
      <c r="B535" s="468"/>
      <c r="C535" s="224"/>
    </row>
    <row r="536" spans="1:3" s="225" customFormat="1">
      <c r="A536" s="476"/>
      <c r="B536" s="468"/>
      <c r="C536" s="224"/>
    </row>
    <row r="537" spans="1:3" s="225" customFormat="1">
      <c r="A537" s="476"/>
      <c r="B537" s="468"/>
      <c r="C537" s="224"/>
    </row>
    <row r="538" spans="1:3" s="225" customFormat="1">
      <c r="A538" s="476"/>
      <c r="B538" s="468"/>
      <c r="C538" s="224"/>
    </row>
    <row r="539" spans="1:3" s="225" customFormat="1">
      <c r="A539" s="476"/>
      <c r="B539" s="468"/>
      <c r="C539" s="224"/>
    </row>
    <row r="540" spans="1:3" s="225" customFormat="1">
      <c r="A540" s="476"/>
      <c r="B540" s="468"/>
      <c r="C540" s="224"/>
    </row>
    <row r="541" spans="1:3" s="225" customFormat="1">
      <c r="A541" s="476"/>
      <c r="B541" s="468"/>
      <c r="C541" s="224"/>
    </row>
  </sheetData>
  <mergeCells count="3">
    <mergeCell ref="B4:C4"/>
    <mergeCell ref="B1:D1"/>
    <mergeCell ref="B2:D2"/>
  </mergeCells>
  <phoneticPr fontId="0" type="noConversion"/>
  <printOptions horizontalCentered="1"/>
  <pageMargins left="0.6692913385826772" right="0.39370078740157483" top="0.98425196850393704" bottom="0.98425196850393704" header="0.51181102362204722" footer="0.51181102362204722"/>
  <pageSetup scale="78" fitToHeight="29" orientation="portrait" r:id="rId1"/>
  <headerFooter alignWithMargins="0">
    <oddHeader>&amp;C FINANCIAL STATEMENTS: MUSINA LOCAL MUNICIPALITY</oddHeader>
    <oddFooter>&amp;RPage &amp;P</oddFooter>
  </headerFooter>
  <rowBreaks count="9" manualBreakCount="9">
    <brk id="38" max="3" man="1"/>
    <brk id="107" max="3" man="1"/>
    <brk id="153" max="3" man="1"/>
    <brk id="188" max="3" man="1"/>
    <brk id="230" max="3" man="1"/>
    <brk id="271" max="3" man="1"/>
    <brk id="314" max="3" man="1"/>
    <brk id="349" max="3" man="1"/>
    <brk id="469"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36</vt:i4>
      </vt:variant>
      <vt:variant>
        <vt:lpstr>Charts</vt:lpstr>
      </vt:variant>
      <vt:variant>
        <vt:i4>5</vt:i4>
      </vt:variant>
      <vt:variant>
        <vt:lpstr>Named Ranges</vt:lpstr>
      </vt:variant>
      <vt:variant>
        <vt:i4>40</vt:i4>
      </vt:variant>
    </vt:vector>
  </HeadingPairs>
  <TitlesOfParts>
    <vt:vector size="81" baseType="lpstr">
      <vt:lpstr>TRAIL BALANCE</vt:lpstr>
      <vt:lpstr>main TB</vt:lpstr>
      <vt:lpstr> INDEX</vt:lpstr>
      <vt:lpstr>General Information</vt:lpstr>
      <vt:lpstr>Statement of Financial Position</vt:lpstr>
      <vt:lpstr>Statement of Financial Performa</vt:lpstr>
      <vt:lpstr>Changes in Net assets</vt:lpstr>
      <vt:lpstr>Cash Flow Statement</vt:lpstr>
      <vt:lpstr>Note 1 Accounting Policy</vt:lpstr>
      <vt:lpstr>Notes 2 - 9</vt:lpstr>
      <vt:lpstr>Note 10</vt:lpstr>
      <vt:lpstr>Note 11-14</vt:lpstr>
      <vt:lpstr>Note 15</vt:lpstr>
      <vt:lpstr>Note 16, 17</vt:lpstr>
      <vt:lpstr>Notes 18 - 35</vt:lpstr>
      <vt:lpstr>Note 35 (Continue..) - 36</vt:lpstr>
      <vt:lpstr>Note 37</vt:lpstr>
      <vt:lpstr>Note 38</vt:lpstr>
      <vt:lpstr>Note 39 -42</vt:lpstr>
      <vt:lpstr>Note 43</vt:lpstr>
      <vt:lpstr>Appendix A</vt:lpstr>
      <vt:lpstr>Appendix B</vt:lpstr>
      <vt:lpstr>Appendix C</vt:lpstr>
      <vt:lpstr>Appendix D</vt:lpstr>
      <vt:lpstr>Appendix E(1)</vt:lpstr>
      <vt:lpstr>Appendix E(2)</vt:lpstr>
      <vt:lpstr>Appendix G</vt:lpstr>
      <vt:lpstr>Round up links</vt:lpstr>
      <vt:lpstr>Financial Report p13</vt:lpstr>
      <vt:lpstr>Graphs - Linked </vt:lpstr>
      <vt:lpstr>Capital Exp by Asset Type </vt:lpstr>
      <vt:lpstr>Collection Rates</vt:lpstr>
      <vt:lpstr>Capital Expenditure &amp; Financing</vt:lpstr>
      <vt:lpstr>Roll Overs Capital Budget</vt:lpstr>
      <vt:lpstr>Accounting Ratios</vt:lpstr>
      <vt:lpstr>Sheet1</vt:lpstr>
      <vt:lpstr>Operating revenue Graph</vt:lpstr>
      <vt:lpstr>Operating Expenditure Graph</vt:lpstr>
      <vt:lpstr>Consumer debtors Graph</vt:lpstr>
      <vt:lpstr>Collection Rates Graph</vt:lpstr>
      <vt:lpstr>Capital exp by Asset Type</vt:lpstr>
      <vt:lpstr>'Note 1 Accounting Policy'!_Toc203654196</vt:lpstr>
      <vt:lpstr>' INDEX'!Print_Area</vt:lpstr>
      <vt:lpstr>'Appendix A'!Print_Area</vt:lpstr>
      <vt:lpstr>'Appendix B'!Print_Area</vt:lpstr>
      <vt:lpstr>'Appendix C'!Print_Area</vt:lpstr>
      <vt:lpstr>'Appendix D'!Print_Area</vt:lpstr>
      <vt:lpstr>'Appendix E(1)'!Print_Area</vt:lpstr>
      <vt:lpstr>'Appendix E(2)'!Print_Area</vt:lpstr>
      <vt:lpstr>'Appendix G'!Print_Area</vt:lpstr>
      <vt:lpstr>'Cash Flow Statement'!Print_Area</vt:lpstr>
      <vt:lpstr>'Changes in Net assets'!Print_Area</vt:lpstr>
      <vt:lpstr>'General Information'!Print_Area</vt:lpstr>
      <vt:lpstr>'main TB'!Print_Area</vt:lpstr>
      <vt:lpstr>'Note 1 Accounting Policy'!Print_Area</vt:lpstr>
      <vt:lpstr>'Note 10'!Print_Area</vt:lpstr>
      <vt:lpstr>'Note 11-14'!Print_Area</vt:lpstr>
      <vt:lpstr>'Note 15'!Print_Area</vt:lpstr>
      <vt:lpstr>'Note 16, 17'!Print_Area</vt:lpstr>
      <vt:lpstr>'Note 38'!Print_Area</vt:lpstr>
      <vt:lpstr>'Note 39 -42'!Print_Area</vt:lpstr>
      <vt:lpstr>'Note 43'!Print_Area</vt:lpstr>
      <vt:lpstr>'Notes 18 - 35'!Print_Area</vt:lpstr>
      <vt:lpstr>'Notes 2 - 9'!Print_Area</vt:lpstr>
      <vt:lpstr>'Statement of Financial Performa'!Print_Area</vt:lpstr>
      <vt:lpstr>'Statement of Financial Position'!Print_Area</vt:lpstr>
      <vt:lpstr>'TRAIL BALANCE'!Print_Area</vt:lpstr>
      <vt:lpstr>'main TB'!Print_Titles</vt:lpstr>
      <vt:lpstr>'Note 1 Accounting Policy'!Print_Titles</vt:lpstr>
      <vt:lpstr>'Note 11-14'!Print_Titles</vt:lpstr>
      <vt:lpstr>'Note 15'!Print_Titles</vt:lpstr>
      <vt:lpstr>'Note 16, 17'!Print_Titles</vt:lpstr>
      <vt:lpstr>'Note 35 (Continue..) - 36'!Print_Titles</vt:lpstr>
      <vt:lpstr>'Note 38'!Print_Titles</vt:lpstr>
      <vt:lpstr>'Note 43'!Print_Titles</vt:lpstr>
      <vt:lpstr>'Notes 18 - 35'!Print_Titles</vt:lpstr>
      <vt:lpstr>'Notes 2 - 9'!Print_Titles</vt:lpstr>
      <vt:lpstr>'TRAIL BALANCE'!Print_Titles</vt:lpstr>
      <vt:lpstr>'main TB'!Query_from_ProMIS</vt:lpstr>
      <vt:lpstr>'TRAIL BALANCE'!Query_from_ProMIS</vt:lpstr>
      <vt:lpstr>'TRAIL BALANCE'!Query_from_ProMIS_1</vt:lpstr>
    </vt:vector>
  </TitlesOfParts>
  <Company>Private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Heila Welgemoed</dc:creator>
  <cp:lastModifiedBy>nakkiet</cp:lastModifiedBy>
  <cp:lastPrinted>2009-06-08T11:41:05Z</cp:lastPrinted>
  <dcterms:created xsi:type="dcterms:W3CDTF">2008-06-30T11:37:03Z</dcterms:created>
  <dcterms:modified xsi:type="dcterms:W3CDTF">2012-09-19T10:27:06Z</dcterms:modified>
</cp:coreProperties>
</file>